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HIÊN\Dư lieu may sunface-Tân Lơi\Lĩnh vực Tài chính-KTXH\HỌP HĐND\Kỳ họp chuyên đề thứ 4-2026\Gửi ban thẩm tra - cuối\BS ĐTC 2026\"/>
    </mc:Choice>
  </mc:AlternateContent>
  <xr:revisionPtr revIDLastSave="0" documentId="8_{A268CF4A-A841-4DE5-BCD7-D57841A553D0}" xr6:coauthVersionLast="47" xr6:coauthVersionMax="47" xr10:uidLastSave="{00000000-0000-0000-0000-000000000000}"/>
  <bookViews>
    <workbookView xWindow="-110" yWindow="-110" windowWidth="22780" windowHeight="14540" tabRatio="893" firstSheet="23" activeTab="23" xr2:uid="{00000000-000D-0000-FFFF-FFFF00000000}"/>
  </bookViews>
  <sheets>
    <sheet name="1.Trung uong 21-25" sheetId="9" state="hidden" r:id="rId1"/>
    <sheet name="2.Tinh 21-25" sheetId="2" state="hidden" r:id="rId2"/>
    <sheet name="2.1.Tinh HTMT 21-25" sheetId="17" state="hidden" r:id="rId3"/>
    <sheet name="3.Thu hop phap Tinh 21-25" sheetId="4" state="hidden" r:id="rId4"/>
    <sheet name="1.Trung uong 26-30" sheetId="8" state="hidden" r:id="rId5"/>
    <sheet name="5.ODA 26-30" sheetId="12" state="hidden" r:id="rId6"/>
    <sheet name="2.Tinh 26-30" sheetId="6" state="hidden" r:id="rId7"/>
    <sheet name="7.Thu hop phap Tinh 26-30" sheetId="7" state="hidden" r:id="rId8"/>
    <sheet name="8.Xa 21-25" sheetId="13" state="hidden" r:id="rId9"/>
    <sheet name="9.Thu hop phap xa 21-25" sheetId="15" state="hidden" r:id="rId10"/>
    <sheet name="3.Xa 26-30" sheetId="16" state="hidden" r:id="rId11"/>
    <sheet name="11.Thu hop phap Xa 26-30" sheetId="14" state="hidden" r:id="rId12"/>
    <sheet name="Nganh-linh vuc NĐ 85" sheetId="19" state="hidden" r:id="rId13"/>
    <sheet name="4.Tinh HTMT 26-30" sheetId="18" state="hidden" r:id="rId14"/>
    <sheet name="5.DTC2026" sheetId="20" state="hidden" r:id="rId15"/>
    <sheet name="2026 HD" sheetId="21" state="hidden" r:id="rId16"/>
    <sheet name="DM DTC2630 theo HD STC" sheetId="22" state="hidden" r:id="rId17"/>
    <sheet name="foxz" sheetId="26" state="hidden" r:id="rId18"/>
    <sheet name="foxz_2" sheetId="28" state="veryHidden" r:id="rId19"/>
    <sheet name="foxz_3" sheetId="29" state="veryHidden" r:id="rId20"/>
    <sheet name="foxz_4" sheetId="30" state="veryHidden" r:id="rId21"/>
    <sheet name="foxz_5" sheetId="31" state="veryHidden" r:id="rId22"/>
    <sheet name="foxz_6" sheetId="32" state="veryHidden" r:id="rId23"/>
    <sheet name="bieu 1 nguon von" sheetId="27" r:id="rId24"/>
    <sheet name="26-30 sua" sheetId="23" state="hidden" r:id="rId25"/>
    <sheet name="bs 2026 UBND" sheetId="34" r:id="rId26"/>
  </sheets>
  <definedNames>
    <definedName name="_xlnm.Print_Area" localSheetId="0">'1.Trung uong 21-25'!$A$1:$AQ$36</definedName>
    <definedName name="_xlnm.Print_Area" localSheetId="4">'1.Trung uong 26-30'!$A$1:$X$17</definedName>
    <definedName name="_xlnm.Print_Area" localSheetId="11">'11.Thu hop phap Xa 26-30'!$A$1:$X$19</definedName>
    <definedName name="_xlnm.Print_Area" localSheetId="2">'2.1.Tinh HTMT 21-25'!$A$1:$AQ$77</definedName>
    <definedName name="_xlnm.Print_Area" localSheetId="1">'2.Tinh 21-25'!$A$1:$AQ$83</definedName>
    <definedName name="_xlnm.Print_Area" localSheetId="6">'2.Tinh 26-30'!$A$1:$X$25</definedName>
    <definedName name="_xlnm.Print_Area" localSheetId="15">'2026 HD'!$A$1:$K$86</definedName>
    <definedName name="_xlnm.Print_Area" localSheetId="24">'26-30 sua'!$A$1:$K$41</definedName>
    <definedName name="_xlnm.Print_Area" localSheetId="10">'3.Xa 26-30'!$A$1:$X$57</definedName>
    <definedName name="_xlnm.Print_Area" localSheetId="13">'4.Tinh HTMT 26-30'!$A$1:$X$24</definedName>
    <definedName name="_xlnm.Print_Area" localSheetId="14">'5.DTC2026'!$A$1:$S$41</definedName>
    <definedName name="_xlnm.Print_Area" localSheetId="5">'5.ODA 26-30'!$A$1:$AA$18</definedName>
    <definedName name="_xlnm.Print_Area" localSheetId="7">'7.Thu hop phap Tinh 26-30'!$A$1:$X$19</definedName>
    <definedName name="_xlnm.Print_Area" localSheetId="8">'8.Xa 21-25'!$A$1:$AQ$67</definedName>
    <definedName name="_xlnm.Print_Area" localSheetId="9">'9.Thu hop phap xa 21-25'!$A$1:$AD$20</definedName>
    <definedName name="_xlnm.Print_Area" localSheetId="23">'bieu 1 nguon von'!$A$1:$G$13</definedName>
    <definedName name="_xlnm.Print_Area" localSheetId="25">'bs 2026 UBND'!$A$1:$J$12</definedName>
    <definedName name="_xlnm.Print_Titles" localSheetId="0">'1.Trung uong 21-25'!$4:$11</definedName>
    <definedName name="_xlnm.Print_Titles" localSheetId="11">'11.Thu hop phap Xa 26-30'!$4:$8</definedName>
    <definedName name="_xlnm.Print_Titles" localSheetId="2">'2.1.Tinh HTMT 21-25'!$4:$11</definedName>
    <definedName name="_xlnm.Print_Titles" localSheetId="1">'2.Tinh 21-25'!$4:$11</definedName>
    <definedName name="_xlnm.Print_Titles" localSheetId="10">'3.Xa 26-30'!$4:$8</definedName>
    <definedName name="_xlnm.Print_Titles" localSheetId="13">'4.Tinh HTMT 26-30'!$4:$8</definedName>
    <definedName name="_xlnm.Print_Titles" localSheetId="5">'5.ODA 26-30'!$4:$12</definedName>
    <definedName name="_xlnm.Print_Titles" localSheetId="7">'7.Thu hop phap Tinh 26-30'!$4:$8</definedName>
    <definedName name="_xlnm.Print_Titles" localSheetId="8">'8.Xa 21-25'!$4:$11</definedName>
    <definedName name="_xlnm.Print_Titles" localSheetId="9">'9.Thu hop phap xa 21-25'!$4:$8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34" l="1"/>
  <c r="F11" i="34"/>
  <c r="H10" i="34"/>
  <c r="H9" i="34" s="1"/>
  <c r="G10" i="34"/>
  <c r="G9" i="34" s="1"/>
  <c r="F9" i="34" s="1"/>
  <c r="E11" i="34"/>
  <c r="F10" i="34" l="1"/>
  <c r="A3" i="27"/>
  <c r="E12" i="27"/>
  <c r="E11" i="27"/>
  <c r="E10" i="27"/>
  <c r="D9" i="27"/>
  <c r="C9" i="27"/>
  <c r="E9" i="27" l="1"/>
  <c r="I44" i="23" l="1"/>
  <c r="H44" i="23"/>
  <c r="F44" i="23"/>
  <c r="F43" i="23"/>
  <c r="F41" i="23"/>
  <c r="E41" i="23"/>
  <c r="T40" i="23"/>
  <c r="M40" i="23"/>
  <c r="F40" i="23"/>
  <c r="F39" i="23"/>
  <c r="F38" i="23"/>
  <c r="R37" i="23"/>
  <c r="P37" i="23"/>
  <c r="F37" i="23"/>
  <c r="P36" i="23"/>
  <c r="F36" i="23"/>
  <c r="N35" i="23"/>
  <c r="M35" i="23"/>
  <c r="F35" i="23"/>
  <c r="R34" i="23"/>
  <c r="P34" i="23"/>
  <c r="O34" i="23"/>
  <c r="M34" i="23"/>
  <c r="N34" i="23" s="1"/>
  <c r="F34" i="23"/>
  <c r="F33" i="23"/>
  <c r="F32" i="23"/>
  <c r="F31" i="23"/>
  <c r="S30" i="23"/>
  <c r="O30" i="23"/>
  <c r="F30" i="23"/>
  <c r="N29" i="23"/>
  <c r="J29" i="23"/>
  <c r="I29" i="23"/>
  <c r="H29" i="23"/>
  <c r="G29" i="23"/>
  <c r="E29" i="23"/>
  <c r="F28" i="23"/>
  <c r="G44" i="23" s="1"/>
  <c r="F27" i="23"/>
  <c r="F26" i="23"/>
  <c r="F25" i="23"/>
  <c r="P24" i="23"/>
  <c r="F24" i="23"/>
  <c r="N23" i="23"/>
  <c r="F23" i="23"/>
  <c r="L22" i="23"/>
  <c r="F22" i="23"/>
  <c r="U21" i="23"/>
  <c r="L21" i="23"/>
  <c r="F21" i="23"/>
  <c r="N20" i="23"/>
  <c r="L20" i="23"/>
  <c r="F20" i="23"/>
  <c r="F19" i="23"/>
  <c r="Q18" i="23"/>
  <c r="P18" i="23"/>
  <c r="P22" i="23" s="1"/>
  <c r="M18" i="23"/>
  <c r="F18" i="23"/>
  <c r="L18" i="23" s="1"/>
  <c r="N17" i="23"/>
  <c r="F17" i="23"/>
  <c r="L16" i="23"/>
  <c r="J16" i="23"/>
  <c r="J11" i="23" s="1"/>
  <c r="I16" i="23"/>
  <c r="H16" i="23"/>
  <c r="G16" i="23"/>
  <c r="G11" i="23" s="1"/>
  <c r="G9" i="23" s="1"/>
  <c r="E16" i="23"/>
  <c r="E11" i="23" s="1"/>
  <c r="M11" i="23"/>
  <c r="L11" i="23"/>
  <c r="H11" i="23"/>
  <c r="H9" i="23" s="1"/>
  <c r="F10" i="23"/>
  <c r="A3" i="23"/>
  <c r="C88" i="22"/>
  <c r="S87" i="22"/>
  <c r="S88" i="22" s="1"/>
  <c r="P87" i="22"/>
  <c r="C87" i="22"/>
  <c r="C86" i="22" s="1"/>
  <c r="O86" i="22"/>
  <c r="F86" i="22"/>
  <c r="E86" i="22"/>
  <c r="D86" i="22"/>
  <c r="C85" i="22"/>
  <c r="C83" i="22" s="1"/>
  <c r="T84" i="22"/>
  <c r="C84" i="22"/>
  <c r="N83" i="22"/>
  <c r="F83" i="22"/>
  <c r="E83" i="22"/>
  <c r="D83" i="22"/>
  <c r="C82" i="22"/>
  <c r="P81" i="22"/>
  <c r="C81" i="22"/>
  <c r="N80" i="22"/>
  <c r="C80" i="22"/>
  <c r="N79" i="22"/>
  <c r="C79" i="22"/>
  <c r="C78" i="22"/>
  <c r="N77" i="22"/>
  <c r="C77" i="22"/>
  <c r="T76" i="22"/>
  <c r="C76" i="22"/>
  <c r="F75" i="22"/>
  <c r="F74" i="22" s="1"/>
  <c r="E75" i="22"/>
  <c r="D75" i="22"/>
  <c r="C72" i="22"/>
  <c r="P71" i="22"/>
  <c r="C71" i="22"/>
  <c r="C70" i="22" s="1"/>
  <c r="O70" i="22"/>
  <c r="F70" i="22"/>
  <c r="E70" i="22"/>
  <c r="D70" i="22"/>
  <c r="C69" i="22"/>
  <c r="C68" i="22"/>
  <c r="L67" i="22"/>
  <c r="C67" i="22"/>
  <c r="N66" i="22"/>
  <c r="F66" i="22"/>
  <c r="E66" i="22"/>
  <c r="D66" i="22"/>
  <c r="C65" i="22"/>
  <c r="P64" i="22"/>
  <c r="C64" i="22"/>
  <c r="C63" i="22"/>
  <c r="N62" i="22"/>
  <c r="D62" i="22"/>
  <c r="D58" i="22" s="1"/>
  <c r="N61" i="22"/>
  <c r="C61" i="22"/>
  <c r="N60" i="22"/>
  <c r="C60" i="22"/>
  <c r="P59" i="22"/>
  <c r="D59" i="22"/>
  <c r="C59" i="22"/>
  <c r="F58" i="22"/>
  <c r="F57" i="22" s="1"/>
  <c r="E58" i="22"/>
  <c r="C56" i="22"/>
  <c r="C55" i="22"/>
  <c r="P54" i="22"/>
  <c r="C54" i="22"/>
  <c r="O53" i="22"/>
  <c r="F53" i="22"/>
  <c r="E53" i="22"/>
  <c r="D53" i="22"/>
  <c r="C52" i="22"/>
  <c r="C51" i="22"/>
  <c r="C50" i="22"/>
  <c r="N49" i="22"/>
  <c r="F49" i="22"/>
  <c r="E49" i="22"/>
  <c r="D49" i="22"/>
  <c r="C48" i="22"/>
  <c r="P47" i="22"/>
  <c r="L46" i="22"/>
  <c r="D46" i="22"/>
  <c r="C46" i="22" s="1"/>
  <c r="N45" i="22"/>
  <c r="C45" i="22"/>
  <c r="P44" i="22"/>
  <c r="L44" i="22"/>
  <c r="L45" i="22" s="1"/>
  <c r="C44" i="22"/>
  <c r="F43" i="22"/>
  <c r="F42" i="22" s="1"/>
  <c r="E43" i="22"/>
  <c r="E42" i="22" s="1"/>
  <c r="D43" i="22"/>
  <c r="D42" i="22"/>
  <c r="C41" i="22"/>
  <c r="C40" i="22"/>
  <c r="R39" i="22"/>
  <c r="P39" i="22"/>
  <c r="C39" i="22"/>
  <c r="C38" i="22" s="1"/>
  <c r="O38" i="22"/>
  <c r="F38" i="22"/>
  <c r="E38" i="22"/>
  <c r="D38" i="22"/>
  <c r="C37" i="22"/>
  <c r="C36" i="22"/>
  <c r="C35" i="22"/>
  <c r="P34" i="22"/>
  <c r="C34" i="22"/>
  <c r="S33" i="22"/>
  <c r="N33" i="22"/>
  <c r="F33" i="22"/>
  <c r="E33" i="22"/>
  <c r="D33" i="22"/>
  <c r="C32" i="22"/>
  <c r="P31" i="22"/>
  <c r="U30" i="22"/>
  <c r="C30" i="22"/>
  <c r="N29" i="22"/>
  <c r="C29" i="22"/>
  <c r="P28" i="22"/>
  <c r="D28" i="22"/>
  <c r="F27" i="22"/>
  <c r="E27" i="22"/>
  <c r="C24" i="22"/>
  <c r="C23" i="22" s="1"/>
  <c r="F23" i="22"/>
  <c r="F9" i="22" s="1"/>
  <c r="E23" i="22"/>
  <c r="D23" i="22"/>
  <c r="R21" i="22"/>
  <c r="P21" i="22"/>
  <c r="O21" i="22"/>
  <c r="N21" i="22"/>
  <c r="M21" i="22"/>
  <c r="C21" i="22"/>
  <c r="C20" i="22"/>
  <c r="S19" i="22"/>
  <c r="O19" i="22"/>
  <c r="C19" i="22"/>
  <c r="C18" i="22" s="1"/>
  <c r="N18" i="22"/>
  <c r="F18" i="22"/>
  <c r="E18" i="22"/>
  <c r="D18" i="22"/>
  <c r="P16" i="22"/>
  <c r="C15" i="22"/>
  <c r="Q14" i="22"/>
  <c r="P14" i="22"/>
  <c r="C14" i="22"/>
  <c r="R13" i="22"/>
  <c r="P13" i="22"/>
  <c r="P15" i="22" s="1"/>
  <c r="C13" i="22"/>
  <c r="T12" i="22"/>
  <c r="C12" i="22"/>
  <c r="C10" i="22" s="1"/>
  <c r="T11" i="22"/>
  <c r="P11" i="22"/>
  <c r="C11" i="22"/>
  <c r="F10" i="22"/>
  <c r="E10" i="22"/>
  <c r="D10" i="22"/>
  <c r="D9" i="22" s="1"/>
  <c r="C85" i="21"/>
  <c r="P84" i="21"/>
  <c r="C84" i="21"/>
  <c r="C83" i="21" s="1"/>
  <c r="O83" i="21"/>
  <c r="F83" i="21"/>
  <c r="E83" i="21"/>
  <c r="D83" i="21"/>
  <c r="C82" i="21"/>
  <c r="C81" i="21"/>
  <c r="T80" i="21"/>
  <c r="C80" i="21"/>
  <c r="N79" i="21"/>
  <c r="F79" i="21"/>
  <c r="E79" i="21"/>
  <c r="D79" i="21"/>
  <c r="C78" i="21"/>
  <c r="P77" i="21"/>
  <c r="C77" i="21"/>
  <c r="N76" i="21"/>
  <c r="C76" i="21"/>
  <c r="N75" i="21"/>
  <c r="C75" i="21"/>
  <c r="C74" i="21"/>
  <c r="N73" i="21"/>
  <c r="C73" i="21"/>
  <c r="F71" i="21"/>
  <c r="E71" i="21"/>
  <c r="D71" i="21"/>
  <c r="C71" i="21"/>
  <c r="C69" i="21"/>
  <c r="P68" i="21"/>
  <c r="C68" i="21"/>
  <c r="O67" i="21"/>
  <c r="F67" i="21"/>
  <c r="E67" i="21"/>
  <c r="D67" i="21"/>
  <c r="C67" i="21"/>
  <c r="C66" i="21"/>
  <c r="C65" i="21"/>
  <c r="C63" i="21" s="1"/>
  <c r="C64" i="21"/>
  <c r="N63" i="21"/>
  <c r="F63" i="21"/>
  <c r="E63" i="21"/>
  <c r="D63" i="21"/>
  <c r="C62" i="21"/>
  <c r="P61" i="21"/>
  <c r="C61" i="21"/>
  <c r="N60" i="21"/>
  <c r="C60" i="21"/>
  <c r="N59" i="21"/>
  <c r="C59" i="21"/>
  <c r="C58" i="21"/>
  <c r="N57" i="21"/>
  <c r="C57" i="21"/>
  <c r="P56" i="21"/>
  <c r="C56" i="21"/>
  <c r="C55" i="21" s="1"/>
  <c r="F55" i="21"/>
  <c r="F54" i="21" s="1"/>
  <c r="E55" i="21"/>
  <c r="D55" i="21"/>
  <c r="D54" i="21" s="1"/>
  <c r="L54" i="21" s="1"/>
  <c r="E54" i="21"/>
  <c r="C52" i="21"/>
  <c r="P51" i="21"/>
  <c r="C51" i="21"/>
  <c r="C50" i="21" s="1"/>
  <c r="O50" i="21"/>
  <c r="F50" i="21"/>
  <c r="E50" i="21"/>
  <c r="D50" i="21"/>
  <c r="C49" i="21"/>
  <c r="C48" i="21"/>
  <c r="C47" i="21"/>
  <c r="N46" i="21"/>
  <c r="F46" i="21"/>
  <c r="E46" i="21"/>
  <c r="E39" i="21" s="1"/>
  <c r="D46" i="21"/>
  <c r="C45" i="21"/>
  <c r="P44" i="21"/>
  <c r="C44" i="21"/>
  <c r="C43" i="21"/>
  <c r="N42" i="21"/>
  <c r="C42" i="21"/>
  <c r="P41" i="21"/>
  <c r="C41" i="21"/>
  <c r="F40" i="21"/>
  <c r="F39" i="21" s="1"/>
  <c r="E40" i="21"/>
  <c r="D40" i="21"/>
  <c r="D39" i="21" s="1"/>
  <c r="P38" i="21"/>
  <c r="R37" i="21"/>
  <c r="P37" i="21"/>
  <c r="C37" i="21"/>
  <c r="C36" i="21" s="1"/>
  <c r="O36" i="21"/>
  <c r="F36" i="21"/>
  <c r="E36" i="21"/>
  <c r="D36" i="21"/>
  <c r="C35" i="21"/>
  <c r="C34" i="21"/>
  <c r="P33" i="21"/>
  <c r="C33" i="21"/>
  <c r="C32" i="21" s="1"/>
  <c r="N32" i="21"/>
  <c r="F32" i="21"/>
  <c r="E32" i="21"/>
  <c r="D32" i="21"/>
  <c r="C31" i="21"/>
  <c r="P30" i="21"/>
  <c r="C30" i="21"/>
  <c r="C29" i="21"/>
  <c r="N28" i="21"/>
  <c r="C28" i="21"/>
  <c r="P27" i="21"/>
  <c r="C27" i="21"/>
  <c r="F26" i="21"/>
  <c r="E26" i="21"/>
  <c r="E25" i="21" s="1"/>
  <c r="D26" i="21"/>
  <c r="D25" i="21"/>
  <c r="C23" i="21"/>
  <c r="C22" i="21" s="1"/>
  <c r="F22" i="21"/>
  <c r="E22" i="21"/>
  <c r="D22" i="21"/>
  <c r="P20" i="21"/>
  <c r="O20" i="21"/>
  <c r="M20" i="21"/>
  <c r="N20" i="21" s="1"/>
  <c r="C20" i="21"/>
  <c r="C19" i="21"/>
  <c r="O18" i="21"/>
  <c r="C18" i="21"/>
  <c r="N17" i="21"/>
  <c r="F17" i="21"/>
  <c r="E17" i="21"/>
  <c r="D17" i="21"/>
  <c r="P15" i="21"/>
  <c r="C15" i="21"/>
  <c r="C14" i="21"/>
  <c r="Q13" i="21"/>
  <c r="P13" i="21"/>
  <c r="C13" i="21"/>
  <c r="R12" i="21"/>
  <c r="P12" i="21"/>
  <c r="P14" i="21" s="1"/>
  <c r="C12" i="21"/>
  <c r="C10" i="21" s="1"/>
  <c r="P11" i="21"/>
  <c r="C11" i="21"/>
  <c r="F10" i="21"/>
  <c r="F9" i="21" s="1"/>
  <c r="E10" i="21"/>
  <c r="D10" i="21"/>
  <c r="D9" i="21" s="1"/>
  <c r="M41" i="20"/>
  <c r="M40" i="20" s="1"/>
  <c r="N40" i="20"/>
  <c r="F40" i="20"/>
  <c r="M39" i="20"/>
  <c r="M38" i="20"/>
  <c r="O37" i="20"/>
  <c r="O36" i="20" s="1"/>
  <c r="N37" i="20"/>
  <c r="F37" i="20"/>
  <c r="M35" i="20"/>
  <c r="M34" i="20" s="1"/>
  <c r="R34" i="20"/>
  <c r="Q34" i="20"/>
  <c r="P34" i="20"/>
  <c r="O34" i="20"/>
  <c r="N34" i="20"/>
  <c r="F34" i="20"/>
  <c r="M32" i="20"/>
  <c r="M31" i="20" s="1"/>
  <c r="R31" i="20"/>
  <c r="Q31" i="20"/>
  <c r="P31" i="20"/>
  <c r="O31" i="20"/>
  <c r="N31" i="20"/>
  <c r="F31" i="20"/>
  <c r="N29" i="20"/>
  <c r="M27" i="20"/>
  <c r="M26" i="20" s="1"/>
  <c r="R26" i="20"/>
  <c r="Q26" i="20"/>
  <c r="P26" i="20"/>
  <c r="O26" i="20"/>
  <c r="N26" i="20"/>
  <c r="F26" i="20"/>
  <c r="M25" i="20"/>
  <c r="M23" i="20" s="1"/>
  <c r="M24" i="20"/>
  <c r="R23" i="20"/>
  <c r="Q23" i="20"/>
  <c r="P23" i="20"/>
  <c r="O23" i="20"/>
  <c r="N23" i="20"/>
  <c r="F23" i="20"/>
  <c r="M22" i="20"/>
  <c r="M21" i="20"/>
  <c r="M20" i="20"/>
  <c r="R19" i="20"/>
  <c r="Q19" i="20"/>
  <c r="P19" i="20"/>
  <c r="O19" i="20"/>
  <c r="N19" i="20"/>
  <c r="F19" i="20"/>
  <c r="M17" i="20"/>
  <c r="N16" i="20"/>
  <c r="M15" i="20"/>
  <c r="M14" i="20"/>
  <c r="M13" i="20"/>
  <c r="R12" i="20"/>
  <c r="Q12" i="20"/>
  <c r="P12" i="20"/>
  <c r="O12" i="20"/>
  <c r="N12" i="20"/>
  <c r="F12" i="20"/>
  <c r="M11" i="20"/>
  <c r="M10" i="20"/>
  <c r="M8" i="20" s="1"/>
  <c r="M9" i="20"/>
  <c r="R8" i="20"/>
  <c r="Q8" i="20"/>
  <c r="P8" i="20"/>
  <c r="O8" i="20"/>
  <c r="N8" i="20"/>
  <c r="F8" i="20"/>
  <c r="W24" i="18"/>
  <c r="V24" i="18" s="1"/>
  <c r="N24" i="18"/>
  <c r="M24" i="18"/>
  <c r="N23" i="18"/>
  <c r="N22" i="18"/>
  <c r="W21" i="18"/>
  <c r="V21" i="18" s="1"/>
  <c r="N21" i="18"/>
  <c r="M21" i="18" s="1"/>
  <c r="N20" i="18"/>
  <c r="W20" i="18" s="1"/>
  <c r="G19" i="18"/>
  <c r="F19" i="18"/>
  <c r="N18" i="18"/>
  <c r="O17" i="18"/>
  <c r="N17" i="18"/>
  <c r="W17" i="18" s="1"/>
  <c r="V17" i="18" s="1"/>
  <c r="N16" i="18"/>
  <c r="N15" i="18"/>
  <c r="M15" i="18" s="1"/>
  <c r="N14" i="18"/>
  <c r="N13" i="18"/>
  <c r="G12" i="18"/>
  <c r="G11" i="18" s="1"/>
  <c r="G9" i="18" s="1"/>
  <c r="F12" i="18"/>
  <c r="F11" i="18" s="1"/>
  <c r="F9" i="18" s="1"/>
  <c r="I58" i="16"/>
  <c r="W57" i="16"/>
  <c r="V57" i="16"/>
  <c r="N57" i="16"/>
  <c r="M57" i="16" s="1"/>
  <c r="W56" i="16"/>
  <c r="V56" i="16" s="1"/>
  <c r="N56" i="16"/>
  <c r="M56" i="16" s="1"/>
  <c r="W55" i="16"/>
  <c r="V55" i="16"/>
  <c r="N55" i="16"/>
  <c r="M55" i="16"/>
  <c r="W54" i="16"/>
  <c r="N54" i="16"/>
  <c r="M54" i="16"/>
  <c r="M53" i="16" s="1"/>
  <c r="G53" i="16"/>
  <c r="F53" i="16"/>
  <c r="N51" i="16"/>
  <c r="W51" i="16" s="1"/>
  <c r="V51" i="16" s="1"/>
  <c r="M51" i="16"/>
  <c r="N50" i="16"/>
  <c r="M50" i="16" s="1"/>
  <c r="N49" i="16"/>
  <c r="W49" i="16" s="1"/>
  <c r="V49" i="16" s="1"/>
  <c r="N48" i="16"/>
  <c r="G47" i="16"/>
  <c r="G46" i="16" s="1"/>
  <c r="F47" i="16"/>
  <c r="F46" i="16" s="1"/>
  <c r="W45" i="16"/>
  <c r="V45" i="16" s="1"/>
  <c r="V44" i="16" s="1"/>
  <c r="N45" i="16"/>
  <c r="W44" i="16"/>
  <c r="G44" i="16"/>
  <c r="F44" i="16"/>
  <c r="W43" i="16"/>
  <c r="N43" i="16"/>
  <c r="M43" i="16"/>
  <c r="M42" i="16" s="1"/>
  <c r="N42" i="16"/>
  <c r="G42" i="16"/>
  <c r="G11" i="16" s="1"/>
  <c r="G9" i="16" s="1"/>
  <c r="F42" i="16"/>
  <c r="W41" i="16"/>
  <c r="V41" i="16" s="1"/>
  <c r="N41" i="16"/>
  <c r="M41" i="16"/>
  <c r="N40" i="16"/>
  <c r="W39" i="16"/>
  <c r="V39" i="16" s="1"/>
  <c r="N39" i="16"/>
  <c r="M39" i="16"/>
  <c r="G38" i="16"/>
  <c r="F38" i="16"/>
  <c r="V37" i="16"/>
  <c r="N37" i="16"/>
  <c r="W37" i="16" s="1"/>
  <c r="M37" i="16"/>
  <c r="N36" i="16"/>
  <c r="M36" i="16" s="1"/>
  <c r="V35" i="16"/>
  <c r="N35" i="16"/>
  <c r="W35" i="16" s="1"/>
  <c r="N34" i="16"/>
  <c r="W34" i="16" s="1"/>
  <c r="V34" i="16" s="1"/>
  <c r="N33" i="16"/>
  <c r="W33" i="16" s="1"/>
  <c r="V33" i="16" s="1"/>
  <c r="M33" i="16"/>
  <c r="N32" i="16"/>
  <c r="W32" i="16" s="1"/>
  <c r="V32" i="16" s="1"/>
  <c r="N31" i="16"/>
  <c r="W31" i="16" s="1"/>
  <c r="V31" i="16" s="1"/>
  <c r="N30" i="16"/>
  <c r="G29" i="16"/>
  <c r="F29" i="16"/>
  <c r="W28" i="16"/>
  <c r="V28" i="16" s="1"/>
  <c r="N28" i="16"/>
  <c r="M28" i="16"/>
  <c r="N27" i="16"/>
  <c r="G26" i="16"/>
  <c r="F26" i="16"/>
  <c r="N25" i="16"/>
  <c r="W25" i="16" s="1"/>
  <c r="V25" i="16" s="1"/>
  <c r="M25" i="16"/>
  <c r="N24" i="16"/>
  <c r="W24" i="16" s="1"/>
  <c r="V24" i="16" s="1"/>
  <c r="M24" i="16"/>
  <c r="N23" i="16"/>
  <c r="W23" i="16" s="1"/>
  <c r="V23" i="16" s="1"/>
  <c r="N22" i="16"/>
  <c r="W22" i="16" s="1"/>
  <c r="V22" i="16" s="1"/>
  <c r="N21" i="16"/>
  <c r="N20" i="16"/>
  <c r="W20" i="16" s="1"/>
  <c r="V20" i="16" s="1"/>
  <c r="N19" i="16"/>
  <c r="W19" i="16" s="1"/>
  <c r="V19" i="16" s="1"/>
  <c r="V18" i="16"/>
  <c r="N18" i="16"/>
  <c r="W18" i="16" s="1"/>
  <c r="M18" i="16"/>
  <c r="N17" i="16"/>
  <c r="W17" i="16" s="1"/>
  <c r="V17" i="16" s="1"/>
  <c r="M17" i="16"/>
  <c r="Z16" i="16"/>
  <c r="N16" i="16"/>
  <c r="W16" i="16" s="1"/>
  <c r="V16" i="16" s="1"/>
  <c r="W15" i="16"/>
  <c r="V15" i="16" s="1"/>
  <c r="N15" i="16"/>
  <c r="M15" i="16" s="1"/>
  <c r="W14" i="16"/>
  <c r="V14" i="16" s="1"/>
  <c r="N14" i="16"/>
  <c r="M14" i="16"/>
  <c r="N13" i="16"/>
  <c r="M13" i="16" s="1"/>
  <c r="G12" i="16"/>
  <c r="F12" i="16"/>
  <c r="Y11" i="16"/>
  <c r="X20" i="15"/>
  <c r="R20" i="15"/>
  <c r="X19" i="15"/>
  <c r="R19" i="15"/>
  <c r="X18" i="15"/>
  <c r="R18" i="15"/>
  <c r="X17" i="15"/>
  <c r="R17" i="15"/>
  <c r="X16" i="15"/>
  <c r="R16" i="15"/>
  <c r="X15" i="15"/>
  <c r="R15" i="15"/>
  <c r="X13" i="15"/>
  <c r="R13" i="15"/>
  <c r="X12" i="15"/>
  <c r="R12" i="15"/>
  <c r="X11" i="15"/>
  <c r="R11" i="15"/>
  <c r="AL67" i="13"/>
  <c r="AG67" i="13"/>
  <c r="AF67" i="13" s="1"/>
  <c r="X67" i="13"/>
  <c r="R67" i="13"/>
  <c r="AR67" i="13" s="1"/>
  <c r="AL66" i="13"/>
  <c r="AG66" i="13"/>
  <c r="AF66" i="13"/>
  <c r="X66" i="13"/>
  <c r="R66" i="13"/>
  <c r="AR66" i="13" s="1"/>
  <c r="AL65" i="13"/>
  <c r="AF65" i="13"/>
  <c r="X65" i="13"/>
  <c r="R65" i="13"/>
  <c r="AR65" i="13" s="1"/>
  <c r="AF64" i="13"/>
  <c r="R64" i="13"/>
  <c r="AR64" i="13" s="1"/>
  <c r="AF63" i="13"/>
  <c r="R63" i="13"/>
  <c r="AR63" i="13" s="1"/>
  <c r="AF62" i="13"/>
  <c r="R62" i="13"/>
  <c r="AR62" i="13" s="1"/>
  <c r="AF61" i="13"/>
  <c r="R61" i="13"/>
  <c r="AR61" i="13" s="1"/>
  <c r="AF60" i="13"/>
  <c r="R60" i="13"/>
  <c r="AR60" i="13" s="1"/>
  <c r="AF59" i="13"/>
  <c r="R59" i="13"/>
  <c r="AR59" i="13" s="1"/>
  <c r="AF58" i="13"/>
  <c r="R58" i="13"/>
  <c r="AR58" i="13" s="1"/>
  <c r="AR57" i="13"/>
  <c r="AF57" i="13"/>
  <c r="R57" i="13"/>
  <c r="AF56" i="13"/>
  <c r="R56" i="13"/>
  <c r="AR56" i="13" s="1"/>
  <c r="AF55" i="13"/>
  <c r="R55" i="13"/>
  <c r="AR55" i="13" s="1"/>
  <c r="AF54" i="13"/>
  <c r="R54" i="13"/>
  <c r="AR54" i="13" s="1"/>
  <c r="AR53" i="13"/>
  <c r="AF53" i="13"/>
  <c r="R53" i="13"/>
  <c r="AF52" i="13"/>
  <c r="R52" i="13"/>
  <c r="AR52" i="13" s="1"/>
  <c r="AF51" i="13"/>
  <c r="R51" i="13"/>
  <c r="AR51" i="13" s="1"/>
  <c r="AF50" i="13"/>
  <c r="R50" i="13"/>
  <c r="AR50" i="13" s="1"/>
  <c r="AF49" i="13"/>
  <c r="R49" i="13"/>
  <c r="AR49" i="13" s="1"/>
  <c r="AF48" i="13"/>
  <c r="R48" i="13"/>
  <c r="AR48" i="13" s="1"/>
  <c r="AF47" i="13"/>
  <c r="R47" i="13"/>
  <c r="AR47" i="13" s="1"/>
  <c r="AF46" i="13"/>
  <c r="R46" i="13"/>
  <c r="AR46" i="13" s="1"/>
  <c r="AF45" i="13"/>
  <c r="R45" i="13"/>
  <c r="AR45" i="13" s="1"/>
  <c r="AL44" i="13"/>
  <c r="AH44" i="13"/>
  <c r="AF44" i="13" s="1"/>
  <c r="X44" i="13"/>
  <c r="R44" i="13"/>
  <c r="AR44" i="13" s="1"/>
  <c r="AR43" i="13"/>
  <c r="AL43" i="13"/>
  <c r="AH43" i="13"/>
  <c r="X43" i="13"/>
  <c r="R43" i="13"/>
  <c r="AR42" i="13"/>
  <c r="AF42" i="13"/>
  <c r="R42" i="13"/>
  <c r="AF41" i="13"/>
  <c r="R41" i="13"/>
  <c r="AR41" i="13" s="1"/>
  <c r="AF40" i="13"/>
  <c r="R40" i="13"/>
  <c r="AR40" i="13" s="1"/>
  <c r="AF39" i="13"/>
  <c r="R39" i="13"/>
  <c r="AR39" i="13" s="1"/>
  <c r="AF38" i="13"/>
  <c r="R38" i="13"/>
  <c r="AR38" i="13" s="1"/>
  <c r="AF37" i="13"/>
  <c r="R37" i="13"/>
  <c r="AR37" i="13" s="1"/>
  <c r="AR36" i="13"/>
  <c r="AF36" i="13"/>
  <c r="R36" i="13"/>
  <c r="AR35" i="13"/>
  <c r="AF35" i="13"/>
  <c r="R35" i="13"/>
  <c r="AF34" i="13"/>
  <c r="R34" i="13"/>
  <c r="AR34" i="13" s="1"/>
  <c r="AL33" i="13"/>
  <c r="AG33" i="13"/>
  <c r="X33" i="13"/>
  <c r="R33" i="13"/>
  <c r="AR33" i="13" s="1"/>
  <c r="AR32" i="13"/>
  <c r="AL32" i="13"/>
  <c r="AG32" i="13"/>
  <c r="AF32" i="13" s="1"/>
  <c r="X32" i="13"/>
  <c r="R32" i="13"/>
  <c r="AL31" i="13"/>
  <c r="AF31" i="13"/>
  <c r="X31" i="13"/>
  <c r="R31" i="13"/>
  <c r="AR31" i="13" s="1"/>
  <c r="AL30" i="13"/>
  <c r="AF30" i="13"/>
  <c r="X30" i="13"/>
  <c r="R30" i="13"/>
  <c r="AR30" i="13" s="1"/>
  <c r="AL29" i="13"/>
  <c r="AF29" i="13"/>
  <c r="X29" i="13"/>
  <c r="R29" i="13"/>
  <c r="AR29" i="13" s="1"/>
  <c r="AL28" i="13"/>
  <c r="AG28" i="13"/>
  <c r="AF28" i="13"/>
  <c r="X28" i="13"/>
  <c r="R28" i="13"/>
  <c r="AR28" i="13" s="1"/>
  <c r="AR27" i="13"/>
  <c r="AL27" i="13"/>
  <c r="AF27" i="13"/>
  <c r="X27" i="13"/>
  <c r="R27" i="13"/>
  <c r="AL26" i="13"/>
  <c r="AF26" i="13"/>
  <c r="X26" i="13"/>
  <c r="R26" i="13"/>
  <c r="AR26" i="13" s="1"/>
  <c r="AL25" i="13"/>
  <c r="AF25" i="13"/>
  <c r="X25" i="13"/>
  <c r="R25" i="13"/>
  <c r="AR25" i="13" s="1"/>
  <c r="AR24" i="13"/>
  <c r="AL24" i="13"/>
  <c r="AF24" i="13"/>
  <c r="X24" i="13"/>
  <c r="R24" i="13"/>
  <c r="AL23" i="13"/>
  <c r="AF23" i="13"/>
  <c r="X23" i="13"/>
  <c r="R23" i="13"/>
  <c r="AR23" i="13" s="1"/>
  <c r="AL22" i="13"/>
  <c r="AF22" i="13"/>
  <c r="X22" i="13"/>
  <c r="R22" i="13"/>
  <c r="AR22" i="13" s="1"/>
  <c r="AR21" i="13"/>
  <c r="AL21" i="13"/>
  <c r="AF21" i="13"/>
  <c r="X21" i="13"/>
  <c r="R21" i="13"/>
  <c r="AL20" i="13"/>
  <c r="AF20" i="13"/>
  <c r="X20" i="13"/>
  <c r="R20" i="13"/>
  <c r="AR20" i="13" s="1"/>
  <c r="AR19" i="13"/>
  <c r="AL19" i="13"/>
  <c r="AF19" i="13"/>
  <c r="X19" i="13"/>
  <c r="R19" i="13"/>
  <c r="AL18" i="13"/>
  <c r="AG18" i="13"/>
  <c r="AF18" i="13" s="1"/>
  <c r="X18" i="13"/>
  <c r="R18" i="13"/>
  <c r="AR18" i="13" s="1"/>
  <c r="AL17" i="13"/>
  <c r="AG17" i="13"/>
  <c r="AF17" i="13"/>
  <c r="X17" i="13"/>
  <c r="R17" i="13"/>
  <c r="AR17" i="13" s="1"/>
  <c r="AR16" i="13"/>
  <c r="AL16" i="13"/>
  <c r="AG16" i="13"/>
  <c r="AF16" i="13" s="1"/>
  <c r="X16" i="13"/>
  <c r="R16" i="13"/>
  <c r="AL15" i="13"/>
  <c r="AF15" i="13"/>
  <c r="X15" i="13"/>
  <c r="R15" i="13"/>
  <c r="AR15" i="13" s="1"/>
  <c r="AP14" i="13"/>
  <c r="AO14" i="13"/>
  <c r="AN14" i="13"/>
  <c r="AM14" i="13"/>
  <c r="AK14" i="13"/>
  <c r="AJ14" i="13"/>
  <c r="AI14" i="13"/>
  <c r="AB14" i="13"/>
  <c r="AA14" i="13"/>
  <c r="Z14" i="13"/>
  <c r="Y14" i="13"/>
  <c r="W14" i="13"/>
  <c r="V14" i="13"/>
  <c r="U14" i="13"/>
  <c r="T14" i="13"/>
  <c r="S14" i="13"/>
  <c r="Q14" i="13"/>
  <c r="O14" i="13"/>
  <c r="N14" i="13"/>
  <c r="W25" i="6"/>
  <c r="V25" i="6" s="1"/>
  <c r="N25" i="6"/>
  <c r="M25" i="6" s="1"/>
  <c r="N24" i="6"/>
  <c r="W24" i="6" s="1"/>
  <c r="V24" i="6" s="1"/>
  <c r="N23" i="6"/>
  <c r="N22" i="6"/>
  <c r="W22" i="6" s="1"/>
  <c r="V22" i="6" s="1"/>
  <c r="N21" i="6"/>
  <c r="N20" i="6"/>
  <c r="W20" i="6" s="1"/>
  <c r="V20" i="6" s="1"/>
  <c r="M20" i="6"/>
  <c r="N19" i="6"/>
  <c r="N18" i="6"/>
  <c r="W18" i="6" s="1"/>
  <c r="V18" i="6" s="1"/>
  <c r="N17" i="6"/>
  <c r="N16" i="6"/>
  <c r="W16" i="6" s="1"/>
  <c r="V16" i="6" s="1"/>
  <c r="N15" i="6"/>
  <c r="N14" i="6"/>
  <c r="W14" i="6" s="1"/>
  <c r="V14" i="6" s="1"/>
  <c r="N13" i="6"/>
  <c r="N12" i="6"/>
  <c r="W12" i="6" s="1"/>
  <c r="M12" i="6"/>
  <c r="G11" i="6"/>
  <c r="G9" i="6" s="1"/>
  <c r="F11" i="6"/>
  <c r="F9" i="6" s="1"/>
  <c r="Z15" i="12"/>
  <c r="Z14" i="12" s="1"/>
  <c r="Z13" i="12" s="1"/>
  <c r="W15" i="12"/>
  <c r="W14" i="12" s="1"/>
  <c r="W13" i="12" s="1"/>
  <c r="V15" i="12"/>
  <c r="V14" i="12" s="1"/>
  <c r="V13" i="12" s="1"/>
  <c r="S15" i="12"/>
  <c r="S14" i="12" s="1"/>
  <c r="S13" i="12" s="1"/>
  <c r="R15" i="12"/>
  <c r="O15" i="12"/>
  <c r="O14" i="12" s="1"/>
  <c r="O13" i="12" s="1"/>
  <c r="N15" i="12"/>
  <c r="N14" i="12" s="1"/>
  <c r="N13" i="12" s="1"/>
  <c r="M15" i="12"/>
  <c r="L15" i="12"/>
  <c r="L14" i="12" s="1"/>
  <c r="L13" i="12" s="1"/>
  <c r="I15" i="12"/>
  <c r="R14" i="12"/>
  <c r="R13" i="12" s="1"/>
  <c r="M14" i="12"/>
  <c r="I14" i="12"/>
  <c r="I13" i="12" s="1"/>
  <c r="M13" i="12"/>
  <c r="E12" i="12"/>
  <c r="B12" i="12"/>
  <c r="N15" i="8"/>
  <c r="W15" i="8" s="1"/>
  <c r="V15" i="8" s="1"/>
  <c r="M15" i="8"/>
  <c r="N14" i="8"/>
  <c r="N13" i="8"/>
  <c r="W13" i="8" s="1"/>
  <c r="V13" i="8" s="1"/>
  <c r="N12" i="8"/>
  <c r="G11" i="8"/>
  <c r="F11" i="8"/>
  <c r="U9" i="8"/>
  <c r="T9" i="8"/>
  <c r="S9" i="8"/>
  <c r="R9" i="8"/>
  <c r="Q9" i="8"/>
  <c r="P9" i="8"/>
  <c r="O9" i="8"/>
  <c r="L9" i="8"/>
  <c r="K9" i="8"/>
  <c r="J9" i="8"/>
  <c r="I9" i="8"/>
  <c r="H9" i="8"/>
  <c r="G9" i="8"/>
  <c r="X20" i="4"/>
  <c r="R20" i="4"/>
  <c r="X19" i="4"/>
  <c r="R19" i="4"/>
  <c r="X18" i="4"/>
  <c r="R18" i="4"/>
  <c r="X17" i="4"/>
  <c r="R17" i="4"/>
  <c r="X16" i="4"/>
  <c r="R16" i="4"/>
  <c r="X15" i="4"/>
  <c r="R15" i="4"/>
  <c r="X13" i="4"/>
  <c r="R13" i="4"/>
  <c r="X12" i="4"/>
  <c r="R12" i="4"/>
  <c r="X11" i="4"/>
  <c r="R11" i="4"/>
  <c r="AL77" i="17"/>
  <c r="AF77" i="17"/>
  <c r="X77" i="17"/>
  <c r="R77" i="17"/>
  <c r="AL76" i="17"/>
  <c r="AF76" i="17"/>
  <c r="AE76" i="17" s="1"/>
  <c r="AC76" i="17" s="1"/>
  <c r="X76" i="17"/>
  <c r="R76" i="17"/>
  <c r="AL75" i="17"/>
  <c r="AE75" i="17" s="1"/>
  <c r="AC75" i="17" s="1"/>
  <c r="AF75" i="17"/>
  <c r="X75" i="17"/>
  <c r="R75" i="17"/>
  <c r="AL74" i="17"/>
  <c r="AF74" i="17"/>
  <c r="AE74" i="17" s="1"/>
  <c r="AC74" i="17" s="1"/>
  <c r="X74" i="17"/>
  <c r="R74" i="17"/>
  <c r="AL73" i="17"/>
  <c r="AF73" i="17"/>
  <c r="AE73" i="17" s="1"/>
  <c r="AC73" i="17" s="1"/>
  <c r="X73" i="17"/>
  <c r="R73" i="17"/>
  <c r="AL72" i="17"/>
  <c r="AF72" i="17"/>
  <c r="AE72" i="17" s="1"/>
  <c r="AC72" i="17" s="1"/>
  <c r="X72" i="17"/>
  <c r="R72" i="17"/>
  <c r="AL71" i="17"/>
  <c r="AE71" i="17" s="1"/>
  <c r="AC71" i="17" s="1"/>
  <c r="AF71" i="17"/>
  <c r="X71" i="17"/>
  <c r="R71" i="17"/>
  <c r="AL70" i="17"/>
  <c r="AF70" i="17"/>
  <c r="AE70" i="17" s="1"/>
  <c r="AC70" i="17" s="1"/>
  <c r="X70" i="17"/>
  <c r="R70" i="17"/>
  <c r="AL69" i="17"/>
  <c r="AF69" i="17"/>
  <c r="X69" i="17"/>
  <c r="R69" i="17"/>
  <c r="AL68" i="17"/>
  <c r="AF68" i="17"/>
  <c r="AE68" i="17"/>
  <c r="AC68" i="17" s="1"/>
  <c r="X68" i="17"/>
  <c r="R68" i="17"/>
  <c r="AL67" i="17"/>
  <c r="AE67" i="17" s="1"/>
  <c r="AC67" i="17" s="1"/>
  <c r="AF67" i="17"/>
  <c r="X67" i="17"/>
  <c r="R67" i="17"/>
  <c r="AL66" i="17"/>
  <c r="AF66" i="17"/>
  <c r="AE66" i="17" s="1"/>
  <c r="AC66" i="17" s="1"/>
  <c r="X66" i="17"/>
  <c r="R66" i="17"/>
  <c r="AL65" i="17"/>
  <c r="AF65" i="17"/>
  <c r="AE65" i="17" s="1"/>
  <c r="AC65" i="17" s="1"/>
  <c r="X65" i="17"/>
  <c r="R65" i="17"/>
  <c r="AL64" i="17"/>
  <c r="AF64" i="17"/>
  <c r="AE64" i="17" s="1"/>
  <c r="AC64" i="17" s="1"/>
  <c r="X64" i="17"/>
  <c r="R64" i="17"/>
  <c r="AL63" i="17"/>
  <c r="AF63" i="17"/>
  <c r="X63" i="17"/>
  <c r="R63" i="17"/>
  <c r="AL62" i="17"/>
  <c r="AF62" i="17"/>
  <c r="AE62" i="17" s="1"/>
  <c r="AC62" i="17" s="1"/>
  <c r="X62" i="17"/>
  <c r="R62" i="17"/>
  <c r="AL61" i="17"/>
  <c r="AF61" i="17"/>
  <c r="AE61" i="17" s="1"/>
  <c r="AC61" i="17" s="1"/>
  <c r="X61" i="17"/>
  <c r="R61" i="17"/>
  <c r="AL60" i="17"/>
  <c r="AE60" i="17" s="1"/>
  <c r="AC60" i="17" s="1"/>
  <c r="AF60" i="17"/>
  <c r="X60" i="17"/>
  <c r="R60" i="17"/>
  <c r="AL59" i="17"/>
  <c r="AE59" i="17" s="1"/>
  <c r="AC59" i="17" s="1"/>
  <c r="AF59" i="17"/>
  <c r="X59" i="17"/>
  <c r="R59" i="17"/>
  <c r="AL58" i="17"/>
  <c r="AF58" i="17"/>
  <c r="AE58" i="17"/>
  <c r="AC58" i="17" s="1"/>
  <c r="X58" i="17"/>
  <c r="R58" i="17"/>
  <c r="AL57" i="17"/>
  <c r="AF57" i="17"/>
  <c r="AE57" i="17" s="1"/>
  <c r="AC57" i="17" s="1"/>
  <c r="X57" i="17"/>
  <c r="R57" i="17"/>
  <c r="AL56" i="17"/>
  <c r="AF56" i="17"/>
  <c r="AE56" i="17"/>
  <c r="AC56" i="17" s="1"/>
  <c r="X56" i="17"/>
  <c r="R56" i="17"/>
  <c r="AL55" i="17"/>
  <c r="AF55" i="17"/>
  <c r="X55" i="17"/>
  <c r="R55" i="17"/>
  <c r="AL54" i="17"/>
  <c r="AF54" i="17"/>
  <c r="AE54" i="17" s="1"/>
  <c r="AC54" i="17" s="1"/>
  <c r="X54" i="17"/>
  <c r="R54" i="17"/>
  <c r="AL53" i="17"/>
  <c r="AF53" i="17"/>
  <c r="X53" i="17"/>
  <c r="R53" i="17"/>
  <c r="AL52" i="17"/>
  <c r="AF52" i="17"/>
  <c r="AE52" i="17"/>
  <c r="AC52" i="17" s="1"/>
  <c r="X52" i="17"/>
  <c r="R52" i="17"/>
  <c r="AL51" i="17"/>
  <c r="AF51" i="17"/>
  <c r="X51" i="17"/>
  <c r="R51" i="17"/>
  <c r="AL50" i="17"/>
  <c r="AE50" i="17" s="1"/>
  <c r="AC50" i="17" s="1"/>
  <c r="AF50" i="17"/>
  <c r="X50" i="17"/>
  <c r="R50" i="17"/>
  <c r="AL49" i="17"/>
  <c r="AF49" i="17"/>
  <c r="AE49" i="17" s="1"/>
  <c r="AC49" i="17" s="1"/>
  <c r="X49" i="17"/>
  <c r="R49" i="17"/>
  <c r="AL48" i="17"/>
  <c r="AF48" i="17"/>
  <c r="AE48" i="17" s="1"/>
  <c r="AC48" i="17" s="1"/>
  <c r="X48" i="17"/>
  <c r="R48" i="17"/>
  <c r="AL47" i="17"/>
  <c r="AF47" i="17"/>
  <c r="X47" i="17"/>
  <c r="R47" i="17"/>
  <c r="AL46" i="17"/>
  <c r="AF46" i="17"/>
  <c r="AE46" i="17"/>
  <c r="AC46" i="17" s="1"/>
  <c r="X46" i="17"/>
  <c r="R46" i="17"/>
  <c r="AL45" i="17"/>
  <c r="AF45" i="17"/>
  <c r="X45" i="17"/>
  <c r="R45" i="17"/>
  <c r="AL44" i="17"/>
  <c r="AF44" i="17"/>
  <c r="AE44" i="17"/>
  <c r="AC44" i="17" s="1"/>
  <c r="X44" i="17"/>
  <c r="R44" i="17"/>
  <c r="AL43" i="17"/>
  <c r="AE43" i="17" s="1"/>
  <c r="AC43" i="17" s="1"/>
  <c r="AF43" i="17"/>
  <c r="X43" i="17"/>
  <c r="R43" i="17"/>
  <c r="AL42" i="17"/>
  <c r="AF42" i="17"/>
  <c r="AE42" i="17"/>
  <c r="AC42" i="17" s="1"/>
  <c r="X42" i="17"/>
  <c r="R42" i="17"/>
  <c r="AL41" i="17"/>
  <c r="AF41" i="17"/>
  <c r="X41" i="17"/>
  <c r="R41" i="17"/>
  <c r="AL40" i="17"/>
  <c r="AF40" i="17"/>
  <c r="AE40" i="17" s="1"/>
  <c r="AC40" i="17" s="1"/>
  <c r="X40" i="17"/>
  <c r="R40" i="17"/>
  <c r="AL39" i="17"/>
  <c r="AF39" i="17"/>
  <c r="X39" i="17"/>
  <c r="R39" i="17"/>
  <c r="AL38" i="17"/>
  <c r="AF38" i="17"/>
  <c r="AE38" i="17" s="1"/>
  <c r="AC38" i="17" s="1"/>
  <c r="X38" i="17"/>
  <c r="R38" i="17"/>
  <c r="AL37" i="17"/>
  <c r="AF37" i="17"/>
  <c r="AE37" i="17" s="1"/>
  <c r="AC37" i="17" s="1"/>
  <c r="X37" i="17"/>
  <c r="R37" i="17"/>
  <c r="AL36" i="17"/>
  <c r="AF36" i="17"/>
  <c r="AE36" i="17" s="1"/>
  <c r="AC36" i="17" s="1"/>
  <c r="X36" i="17"/>
  <c r="R36" i="17"/>
  <c r="AL35" i="17"/>
  <c r="AE35" i="17" s="1"/>
  <c r="AC35" i="17" s="1"/>
  <c r="AF35" i="17"/>
  <c r="X35" i="17"/>
  <c r="R35" i="17"/>
  <c r="AL34" i="17"/>
  <c r="AF34" i="17"/>
  <c r="AE34" i="17"/>
  <c r="AC34" i="17" s="1"/>
  <c r="X34" i="17"/>
  <c r="R34" i="17"/>
  <c r="AL33" i="17"/>
  <c r="AF33" i="17"/>
  <c r="X33" i="17"/>
  <c r="R33" i="17"/>
  <c r="AL32" i="17"/>
  <c r="AF32" i="17"/>
  <c r="AE32" i="17"/>
  <c r="AC32" i="17"/>
  <c r="X32" i="17"/>
  <c r="R32" i="17"/>
  <c r="AL31" i="17"/>
  <c r="AE31" i="17" s="1"/>
  <c r="AC31" i="17" s="1"/>
  <c r="AF31" i="17"/>
  <c r="X31" i="17"/>
  <c r="R31" i="17"/>
  <c r="AL30" i="17"/>
  <c r="AF30" i="17"/>
  <c r="AE30" i="17" s="1"/>
  <c r="AC30" i="17" s="1"/>
  <c r="X30" i="17"/>
  <c r="R30" i="17"/>
  <c r="AL29" i="17"/>
  <c r="AF29" i="17"/>
  <c r="X29" i="17"/>
  <c r="R29" i="17"/>
  <c r="AL28" i="17"/>
  <c r="AF28" i="17"/>
  <c r="AE28" i="17" s="1"/>
  <c r="AC28" i="17" s="1"/>
  <c r="X28" i="17"/>
  <c r="R28" i="17"/>
  <c r="AL27" i="17"/>
  <c r="AF27" i="17"/>
  <c r="X27" i="17"/>
  <c r="R27" i="17"/>
  <c r="AL26" i="17"/>
  <c r="AF26" i="17"/>
  <c r="AE26" i="17" s="1"/>
  <c r="AC26" i="17" s="1"/>
  <c r="X26" i="17"/>
  <c r="R26" i="17"/>
  <c r="AL25" i="17"/>
  <c r="AF25" i="17"/>
  <c r="AE25" i="17" s="1"/>
  <c r="AC25" i="17" s="1"/>
  <c r="X25" i="17"/>
  <c r="R25" i="17"/>
  <c r="AL24" i="17"/>
  <c r="AF24" i="17"/>
  <c r="AE24" i="17" s="1"/>
  <c r="AC24" i="17" s="1"/>
  <c r="X24" i="17"/>
  <c r="R24" i="17"/>
  <c r="AL23" i="17"/>
  <c r="AE23" i="17" s="1"/>
  <c r="AC23" i="17" s="1"/>
  <c r="AF23" i="17"/>
  <c r="X23" i="17"/>
  <c r="R23" i="17"/>
  <c r="AL22" i="17"/>
  <c r="AF22" i="17"/>
  <c r="AE22" i="17"/>
  <c r="AC22" i="17" s="1"/>
  <c r="X22" i="17"/>
  <c r="R22" i="17"/>
  <c r="AL20" i="17"/>
  <c r="AF20" i="17"/>
  <c r="X20" i="17"/>
  <c r="R20" i="17"/>
  <c r="AL19" i="17"/>
  <c r="AF19" i="17"/>
  <c r="AE19" i="17"/>
  <c r="AC19" i="17" s="1"/>
  <c r="X19" i="17"/>
  <c r="R19" i="17"/>
  <c r="AL17" i="17"/>
  <c r="AE17" i="17" s="1"/>
  <c r="AC17" i="17" s="1"/>
  <c r="AF17" i="17"/>
  <c r="X17" i="17"/>
  <c r="R17" i="17"/>
  <c r="R14" i="17" s="1"/>
  <c r="AL16" i="17"/>
  <c r="AF16" i="17"/>
  <c r="AE16" i="17" s="1"/>
  <c r="X16" i="17"/>
  <c r="R16" i="17"/>
  <c r="AP14" i="17"/>
  <c r="AO14" i="17"/>
  <c r="AN14" i="17"/>
  <c r="AM14" i="17"/>
  <c r="AL14" i="17"/>
  <c r="AK14" i="17"/>
  <c r="AJ14" i="17"/>
  <c r="AI14" i="17"/>
  <c r="AH14" i="17"/>
  <c r="AG14" i="17"/>
  <c r="AF14" i="17"/>
  <c r="AD14" i="17"/>
  <c r="AB14" i="17"/>
  <c r="AA14" i="17"/>
  <c r="Z14" i="17"/>
  <c r="Y14" i="17"/>
  <c r="X14" i="17"/>
  <c r="W14" i="17"/>
  <c r="V14" i="17"/>
  <c r="U14" i="17"/>
  <c r="T14" i="17"/>
  <c r="S14" i="17"/>
  <c r="Q14" i="17"/>
  <c r="AL83" i="2"/>
  <c r="AF83" i="2"/>
  <c r="AE83" i="2"/>
  <c r="AC83" i="2" s="1"/>
  <c r="X83" i="2"/>
  <c r="R83" i="2"/>
  <c r="AL82" i="2"/>
  <c r="AF82" i="2"/>
  <c r="AE82" i="2" s="1"/>
  <c r="AC82" i="2" s="1"/>
  <c r="X82" i="2"/>
  <c r="R82" i="2"/>
  <c r="AL81" i="2"/>
  <c r="AF81" i="2"/>
  <c r="AE81" i="2" s="1"/>
  <c r="AC81" i="2" s="1"/>
  <c r="X81" i="2"/>
  <c r="R81" i="2"/>
  <c r="AL80" i="2"/>
  <c r="AF80" i="2"/>
  <c r="X80" i="2"/>
  <c r="R80" i="2"/>
  <c r="AL79" i="2"/>
  <c r="AF79" i="2"/>
  <c r="AE79" i="2"/>
  <c r="AC79" i="2" s="1"/>
  <c r="X79" i="2"/>
  <c r="R79" i="2"/>
  <c r="AL78" i="2"/>
  <c r="AF78" i="2"/>
  <c r="X78" i="2"/>
  <c r="R78" i="2"/>
  <c r="AL77" i="2"/>
  <c r="AE77" i="2" s="1"/>
  <c r="AC77" i="2" s="1"/>
  <c r="AF77" i="2"/>
  <c r="X77" i="2"/>
  <c r="R77" i="2"/>
  <c r="AL76" i="2"/>
  <c r="AF76" i="2"/>
  <c r="X76" i="2"/>
  <c r="R76" i="2"/>
  <c r="AL75" i="2"/>
  <c r="AF75" i="2"/>
  <c r="AE75" i="2"/>
  <c r="AC75" i="2" s="1"/>
  <c r="X75" i="2"/>
  <c r="R75" i="2"/>
  <c r="AL74" i="2"/>
  <c r="AF74" i="2"/>
  <c r="X74" i="2"/>
  <c r="R74" i="2"/>
  <c r="AL73" i="2"/>
  <c r="AF73" i="2"/>
  <c r="AE73" i="2" s="1"/>
  <c r="AC73" i="2" s="1"/>
  <c r="X73" i="2"/>
  <c r="R73" i="2"/>
  <c r="AL72" i="2"/>
  <c r="AF72" i="2"/>
  <c r="AE72" i="2" s="1"/>
  <c r="AC72" i="2" s="1"/>
  <c r="X72" i="2"/>
  <c r="R72" i="2"/>
  <c r="AL71" i="2"/>
  <c r="AE71" i="2" s="1"/>
  <c r="AC71" i="2" s="1"/>
  <c r="AF71" i="2"/>
  <c r="X71" i="2"/>
  <c r="R71" i="2"/>
  <c r="AL70" i="2"/>
  <c r="AF70" i="2"/>
  <c r="AE70" i="2" s="1"/>
  <c r="AC70" i="2" s="1"/>
  <c r="X70" i="2"/>
  <c r="R70" i="2"/>
  <c r="AL69" i="2"/>
  <c r="AF69" i="2"/>
  <c r="AE69" i="2" s="1"/>
  <c r="AC69" i="2" s="1"/>
  <c r="X69" i="2"/>
  <c r="R69" i="2"/>
  <c r="AL68" i="2"/>
  <c r="AE68" i="2" s="1"/>
  <c r="AC68" i="2" s="1"/>
  <c r="AF68" i="2"/>
  <c r="X68" i="2"/>
  <c r="R68" i="2"/>
  <c r="AL67" i="2"/>
  <c r="AE67" i="2" s="1"/>
  <c r="AC67" i="2" s="1"/>
  <c r="AF67" i="2"/>
  <c r="X67" i="2"/>
  <c r="R67" i="2"/>
  <c r="AL66" i="2"/>
  <c r="AF66" i="2"/>
  <c r="X66" i="2"/>
  <c r="R66" i="2"/>
  <c r="AL65" i="2"/>
  <c r="AF65" i="2"/>
  <c r="AE65" i="2"/>
  <c r="AC65" i="2"/>
  <c r="X65" i="2"/>
  <c r="R65" i="2"/>
  <c r="AL64" i="2"/>
  <c r="AE64" i="2" s="1"/>
  <c r="AC64" i="2" s="1"/>
  <c r="AF64" i="2"/>
  <c r="X64" i="2"/>
  <c r="R64" i="2"/>
  <c r="AL63" i="2"/>
  <c r="AF63" i="2"/>
  <c r="AE63" i="2" s="1"/>
  <c r="AC63" i="2" s="1"/>
  <c r="X63" i="2"/>
  <c r="R63" i="2"/>
  <c r="AL62" i="2"/>
  <c r="AF62" i="2"/>
  <c r="X62" i="2"/>
  <c r="R62" i="2"/>
  <c r="AL61" i="2"/>
  <c r="AF61" i="2"/>
  <c r="AE61" i="2" s="1"/>
  <c r="AC61" i="2" s="1"/>
  <c r="X61" i="2"/>
  <c r="R61" i="2"/>
  <c r="AL60" i="2"/>
  <c r="AF60" i="2"/>
  <c r="X60" i="2"/>
  <c r="R60" i="2"/>
  <c r="AL59" i="2"/>
  <c r="AF59" i="2"/>
  <c r="AE59" i="2" s="1"/>
  <c r="AC59" i="2" s="1"/>
  <c r="X59" i="2"/>
  <c r="R59" i="2"/>
  <c r="AL58" i="2"/>
  <c r="AF58" i="2"/>
  <c r="AE58" i="2" s="1"/>
  <c r="AC58" i="2" s="1"/>
  <c r="X58" i="2"/>
  <c r="R58" i="2"/>
  <c r="AL57" i="2"/>
  <c r="AF57" i="2"/>
  <c r="AE57" i="2" s="1"/>
  <c r="AC57" i="2" s="1"/>
  <c r="X57" i="2"/>
  <c r="R57" i="2"/>
  <c r="AL56" i="2"/>
  <c r="AE56" i="2" s="1"/>
  <c r="AC56" i="2" s="1"/>
  <c r="AF56" i="2"/>
  <c r="X56" i="2"/>
  <c r="R56" i="2"/>
  <c r="AL55" i="2"/>
  <c r="AF55" i="2"/>
  <c r="AE55" i="2"/>
  <c r="AC55" i="2" s="1"/>
  <c r="X55" i="2"/>
  <c r="R55" i="2"/>
  <c r="AL54" i="2"/>
  <c r="AF54" i="2"/>
  <c r="X54" i="2"/>
  <c r="R54" i="2"/>
  <c r="AL53" i="2"/>
  <c r="AF53" i="2"/>
  <c r="AE53" i="2"/>
  <c r="AC53" i="2" s="1"/>
  <c r="X53" i="2"/>
  <c r="R53" i="2"/>
  <c r="AL52" i="2"/>
  <c r="AE52" i="2" s="1"/>
  <c r="AC52" i="2" s="1"/>
  <c r="AF52" i="2"/>
  <c r="X52" i="2"/>
  <c r="R52" i="2"/>
  <c r="AL51" i="2"/>
  <c r="AF51" i="2"/>
  <c r="AE51" i="2" s="1"/>
  <c r="AC51" i="2" s="1"/>
  <c r="X51" i="2"/>
  <c r="R51" i="2"/>
  <c r="AL50" i="2"/>
  <c r="AF50" i="2"/>
  <c r="AE50" i="2" s="1"/>
  <c r="AC50" i="2" s="1"/>
  <c r="X50" i="2"/>
  <c r="R50" i="2"/>
  <c r="AL49" i="2"/>
  <c r="AF49" i="2"/>
  <c r="AE49" i="2" s="1"/>
  <c r="AC49" i="2" s="1"/>
  <c r="X49" i="2"/>
  <c r="R49" i="2"/>
  <c r="AL48" i="2"/>
  <c r="AF48" i="2"/>
  <c r="X48" i="2"/>
  <c r="R48" i="2"/>
  <c r="AL47" i="2"/>
  <c r="AF47" i="2"/>
  <c r="AE47" i="2" s="1"/>
  <c r="AC47" i="2" s="1"/>
  <c r="X47" i="2"/>
  <c r="R47" i="2"/>
  <c r="AL46" i="2"/>
  <c r="AF46" i="2"/>
  <c r="AE46" i="2" s="1"/>
  <c r="AC46" i="2" s="1"/>
  <c r="X46" i="2"/>
  <c r="R46" i="2"/>
  <c r="AL45" i="2"/>
  <c r="AF45" i="2"/>
  <c r="X45" i="2"/>
  <c r="R45" i="2"/>
  <c r="AL44" i="2"/>
  <c r="AF44" i="2"/>
  <c r="X44" i="2"/>
  <c r="R44" i="2"/>
  <c r="AL43" i="2"/>
  <c r="AF43" i="2"/>
  <c r="AE43" i="2" s="1"/>
  <c r="AC43" i="2" s="1"/>
  <c r="X43" i="2"/>
  <c r="R43" i="2"/>
  <c r="AL42" i="2"/>
  <c r="AF42" i="2"/>
  <c r="X42" i="2"/>
  <c r="R42" i="2"/>
  <c r="AL41" i="2"/>
  <c r="AF41" i="2"/>
  <c r="X41" i="2"/>
  <c r="R41" i="2"/>
  <c r="AL40" i="2"/>
  <c r="AE40" i="2" s="1"/>
  <c r="AF40" i="2"/>
  <c r="AC40" i="2"/>
  <c r="X40" i="2"/>
  <c r="R40" i="2"/>
  <c r="AL39" i="2"/>
  <c r="AF39" i="2"/>
  <c r="AE39" i="2" s="1"/>
  <c r="AC39" i="2" s="1"/>
  <c r="X39" i="2"/>
  <c r="R39" i="2"/>
  <c r="AL38" i="2"/>
  <c r="AF38" i="2"/>
  <c r="AE38" i="2" s="1"/>
  <c r="AC38" i="2" s="1"/>
  <c r="X38" i="2"/>
  <c r="R38" i="2"/>
  <c r="AL37" i="2"/>
  <c r="AF37" i="2"/>
  <c r="AE37" i="2"/>
  <c r="AC37" i="2"/>
  <c r="X37" i="2"/>
  <c r="R37" i="2"/>
  <c r="AL36" i="2"/>
  <c r="AF36" i="2"/>
  <c r="AE36" i="2" s="1"/>
  <c r="AC36" i="2" s="1"/>
  <c r="X36" i="2"/>
  <c r="R36" i="2"/>
  <c r="AL35" i="2"/>
  <c r="AE35" i="2" s="1"/>
  <c r="AC35" i="2" s="1"/>
  <c r="AF35" i="2"/>
  <c r="X35" i="2"/>
  <c r="R35" i="2"/>
  <c r="AL34" i="2"/>
  <c r="AE34" i="2" s="1"/>
  <c r="AC34" i="2" s="1"/>
  <c r="AF34" i="2"/>
  <c r="X34" i="2"/>
  <c r="R34" i="2"/>
  <c r="AL33" i="2"/>
  <c r="AF33" i="2"/>
  <c r="X33" i="2"/>
  <c r="R33" i="2"/>
  <c r="AL32" i="2"/>
  <c r="AF32" i="2"/>
  <c r="AE32" i="2" s="1"/>
  <c r="AC32" i="2" s="1"/>
  <c r="X32" i="2"/>
  <c r="R32" i="2"/>
  <c r="AL31" i="2"/>
  <c r="AF31" i="2"/>
  <c r="X31" i="2"/>
  <c r="R31" i="2"/>
  <c r="AL30" i="2"/>
  <c r="AF30" i="2"/>
  <c r="AE30" i="2" s="1"/>
  <c r="AC30" i="2" s="1"/>
  <c r="X30" i="2"/>
  <c r="R30" i="2"/>
  <c r="AL29" i="2"/>
  <c r="AF29" i="2"/>
  <c r="AE29" i="2"/>
  <c r="AC29" i="2" s="1"/>
  <c r="X29" i="2"/>
  <c r="R29" i="2"/>
  <c r="AL28" i="2"/>
  <c r="AF28" i="2"/>
  <c r="X28" i="2"/>
  <c r="R28" i="2"/>
  <c r="AL27" i="2"/>
  <c r="AF27" i="2"/>
  <c r="AE27" i="2" s="1"/>
  <c r="AC27" i="2" s="1"/>
  <c r="X27" i="2"/>
  <c r="R27" i="2"/>
  <c r="AL26" i="2"/>
  <c r="AE26" i="2" s="1"/>
  <c r="AC26" i="2" s="1"/>
  <c r="AF26" i="2"/>
  <c r="X26" i="2"/>
  <c r="R26" i="2"/>
  <c r="AL25" i="2"/>
  <c r="AF25" i="2"/>
  <c r="AE25" i="2"/>
  <c r="AC25" i="2" s="1"/>
  <c r="X25" i="2"/>
  <c r="R25" i="2"/>
  <c r="AL24" i="2"/>
  <c r="AF24" i="2"/>
  <c r="AE24" i="2" s="1"/>
  <c r="AC24" i="2" s="1"/>
  <c r="X24" i="2"/>
  <c r="R24" i="2"/>
  <c r="AL22" i="2"/>
  <c r="AF22" i="2"/>
  <c r="AE22" i="2"/>
  <c r="AC22" i="2" s="1"/>
  <c r="X22" i="2"/>
  <c r="R22" i="2"/>
  <c r="AL21" i="2"/>
  <c r="AF21" i="2"/>
  <c r="AE21" i="2"/>
  <c r="AC21" i="2"/>
  <c r="X21" i="2"/>
  <c r="R21" i="2"/>
  <c r="AL19" i="2"/>
  <c r="AF19" i="2"/>
  <c r="AE19" i="2" s="1"/>
  <c r="AC19" i="2" s="1"/>
  <c r="X19" i="2"/>
  <c r="R19" i="2"/>
  <c r="AL18" i="2"/>
  <c r="AF18" i="2"/>
  <c r="AE18" i="2" s="1"/>
  <c r="AC18" i="2" s="1"/>
  <c r="X18" i="2"/>
  <c r="R18" i="2"/>
  <c r="AL17" i="2"/>
  <c r="AF17" i="2"/>
  <c r="AF14" i="2" s="1"/>
  <c r="X17" i="2"/>
  <c r="R17" i="2"/>
  <c r="AL16" i="2"/>
  <c r="AF16" i="2"/>
  <c r="AE16" i="2" s="1"/>
  <c r="X16" i="2"/>
  <c r="X14" i="2" s="1"/>
  <c r="R16" i="2"/>
  <c r="AP14" i="2"/>
  <c r="AO14" i="2"/>
  <c r="AN14" i="2"/>
  <c r="AM14" i="2"/>
  <c r="AK14" i="2"/>
  <c r="AJ14" i="2"/>
  <c r="AI14" i="2"/>
  <c r="AH14" i="2"/>
  <c r="AG14" i="2"/>
  <c r="AD14" i="2"/>
  <c r="AB14" i="2"/>
  <c r="AA14" i="2"/>
  <c r="Z14" i="2"/>
  <c r="Y14" i="2"/>
  <c r="W14" i="2"/>
  <c r="V14" i="2"/>
  <c r="U14" i="2"/>
  <c r="T14" i="2"/>
  <c r="S14" i="2"/>
  <c r="Q14" i="2"/>
  <c r="AL36" i="9"/>
  <c r="AF36" i="9"/>
  <c r="AE36" i="9"/>
  <c r="AC36" i="9" s="1"/>
  <c r="X36" i="9"/>
  <c r="R36" i="9"/>
  <c r="AL35" i="9"/>
  <c r="AE35" i="9" s="1"/>
  <c r="AC35" i="9" s="1"/>
  <c r="AF35" i="9"/>
  <c r="X35" i="9"/>
  <c r="R35" i="9"/>
  <c r="AL34" i="9"/>
  <c r="AF34" i="9"/>
  <c r="X34" i="9"/>
  <c r="R34" i="9"/>
  <c r="AL33" i="9"/>
  <c r="AL31" i="9" s="1"/>
  <c r="AF33" i="9"/>
  <c r="AF31" i="9" s="1"/>
  <c r="AE33" i="9"/>
  <c r="AC33" i="9" s="1"/>
  <c r="X33" i="9"/>
  <c r="X31" i="9" s="1"/>
  <c r="R33" i="9"/>
  <c r="AP31" i="9"/>
  <c r="AO31" i="9"/>
  <c r="AN31" i="9"/>
  <c r="AM31" i="9"/>
  <c r="AK31" i="9"/>
  <c r="AJ31" i="9"/>
  <c r="AI31" i="9"/>
  <c r="AH31" i="9"/>
  <c r="AG31" i="9"/>
  <c r="AD31" i="9"/>
  <c r="AB31" i="9"/>
  <c r="AA31" i="9"/>
  <c r="Z31" i="9"/>
  <c r="Y31" i="9"/>
  <c r="W31" i="9"/>
  <c r="V31" i="9"/>
  <c r="U31" i="9"/>
  <c r="T31" i="9"/>
  <c r="S31" i="9"/>
  <c r="R31" i="9"/>
  <c r="AL30" i="9"/>
  <c r="AE30" i="9" s="1"/>
  <c r="AC30" i="9" s="1"/>
  <c r="AF30" i="9"/>
  <c r="X30" i="9"/>
  <c r="R30" i="9"/>
  <c r="AL29" i="9"/>
  <c r="AF29" i="9"/>
  <c r="AF27" i="9" s="1"/>
  <c r="X29" i="9"/>
  <c r="X27" i="9" s="1"/>
  <c r="R29" i="9"/>
  <c r="AP27" i="9"/>
  <c r="AO27" i="9"/>
  <c r="AN27" i="9"/>
  <c r="AM27" i="9"/>
  <c r="AK27" i="9"/>
  <c r="AJ27" i="9"/>
  <c r="AI27" i="9"/>
  <c r="AH27" i="9"/>
  <c r="AG27" i="9"/>
  <c r="AD27" i="9"/>
  <c r="AB27" i="9"/>
  <c r="AA27" i="9"/>
  <c r="Z27" i="9"/>
  <c r="Y27" i="9"/>
  <c r="W27" i="9"/>
  <c r="V27" i="9"/>
  <c r="U27" i="9"/>
  <c r="T27" i="9"/>
  <c r="S27" i="9"/>
  <c r="AL26" i="9"/>
  <c r="AF26" i="9"/>
  <c r="AE26" i="9"/>
  <c r="AC26" i="9" s="1"/>
  <c r="X26" i="9"/>
  <c r="R26" i="9"/>
  <c r="AL25" i="9"/>
  <c r="AF25" i="9"/>
  <c r="AE25" i="9" s="1"/>
  <c r="AC25" i="9" s="1"/>
  <c r="X25" i="9"/>
  <c r="R25" i="9"/>
  <c r="AL24" i="9"/>
  <c r="AF24" i="9"/>
  <c r="AE24" i="9"/>
  <c r="AC24" i="9" s="1"/>
  <c r="X24" i="9"/>
  <c r="R24" i="9"/>
  <c r="AL23" i="9"/>
  <c r="AF23" i="9"/>
  <c r="AE23" i="9"/>
  <c r="AC23" i="9"/>
  <c r="X23" i="9"/>
  <c r="R23" i="9"/>
  <c r="AL22" i="9"/>
  <c r="AF22" i="9"/>
  <c r="AE22" i="9" s="1"/>
  <c r="AC22" i="9" s="1"/>
  <c r="X22" i="9"/>
  <c r="R22" i="9"/>
  <c r="AL21" i="9"/>
  <c r="AF21" i="9"/>
  <c r="AE21" i="9" s="1"/>
  <c r="AC21" i="9" s="1"/>
  <c r="X21" i="9"/>
  <c r="R21" i="9"/>
  <c r="AL19" i="9"/>
  <c r="AF19" i="9"/>
  <c r="AE19" i="9" s="1"/>
  <c r="AC19" i="9" s="1"/>
  <c r="X19" i="9"/>
  <c r="R19" i="9"/>
  <c r="AL18" i="9"/>
  <c r="AF18" i="9"/>
  <c r="AE18" i="9" s="1"/>
  <c r="AC18" i="9" s="1"/>
  <c r="X18" i="9"/>
  <c r="R18" i="9"/>
  <c r="AL17" i="9"/>
  <c r="AF17" i="9"/>
  <c r="AF14" i="9" s="1"/>
  <c r="AE17" i="9"/>
  <c r="AC17" i="9" s="1"/>
  <c r="X17" i="9"/>
  <c r="R17" i="9"/>
  <c r="R14" i="9" s="1"/>
  <c r="AL16" i="9"/>
  <c r="AF16" i="9"/>
  <c r="X16" i="9"/>
  <c r="R16" i="9"/>
  <c r="AP14" i="9"/>
  <c r="AO14" i="9"/>
  <c r="AN14" i="9"/>
  <c r="AM14" i="9"/>
  <c r="AK14" i="9"/>
  <c r="AJ14" i="9"/>
  <c r="AI14" i="9"/>
  <c r="AH14" i="9"/>
  <c r="AG14" i="9"/>
  <c r="AD14" i="9"/>
  <c r="AB14" i="9"/>
  <c r="AA14" i="9"/>
  <c r="Z14" i="9"/>
  <c r="Y14" i="9"/>
  <c r="X14" i="9"/>
  <c r="W14" i="9"/>
  <c r="V14" i="9"/>
  <c r="U14" i="9"/>
  <c r="T14" i="9"/>
  <c r="S14" i="9"/>
  <c r="W19" i="18" l="1"/>
  <c r="V20" i="18"/>
  <c r="V19" i="18" s="1"/>
  <c r="AC16" i="2"/>
  <c r="C54" i="21"/>
  <c r="O18" i="20"/>
  <c r="O7" i="20" s="1"/>
  <c r="C26" i="21"/>
  <c r="C25" i="21" s="1"/>
  <c r="AE47" i="17"/>
  <c r="AC47" i="17" s="1"/>
  <c r="W36" i="16"/>
  <c r="V36" i="16" s="1"/>
  <c r="W15" i="18"/>
  <c r="V15" i="18" s="1"/>
  <c r="Q7" i="20"/>
  <c r="AE27" i="17"/>
  <c r="AC27" i="17" s="1"/>
  <c r="M19" i="20"/>
  <c r="M18" i="20" s="1"/>
  <c r="F36" i="20"/>
  <c r="C33" i="22"/>
  <c r="I11" i="23"/>
  <c r="AE60" i="2"/>
  <c r="AC60" i="2" s="1"/>
  <c r="R27" i="9"/>
  <c r="R14" i="2"/>
  <c r="AE45" i="2"/>
  <c r="AC45" i="2" s="1"/>
  <c r="AE78" i="2"/>
  <c r="AC78" i="2" s="1"/>
  <c r="AE45" i="17"/>
  <c r="AC45" i="17" s="1"/>
  <c r="AE55" i="17"/>
  <c r="AC55" i="17" s="1"/>
  <c r="AL14" i="13"/>
  <c r="M19" i="16"/>
  <c r="M17" i="18"/>
  <c r="P7" i="20"/>
  <c r="N36" i="20"/>
  <c r="E9" i="21"/>
  <c r="L9" i="21" s="1"/>
  <c r="R14" i="13"/>
  <c r="C9" i="22"/>
  <c r="C53" i="22"/>
  <c r="AL14" i="2"/>
  <c r="AE48" i="2"/>
  <c r="AC48" i="2" s="1"/>
  <c r="AE53" i="17"/>
  <c r="AC53" i="17" s="1"/>
  <c r="AE63" i="17"/>
  <c r="AC63" i="17" s="1"/>
  <c r="M14" i="6"/>
  <c r="M22" i="6"/>
  <c r="M16" i="16"/>
  <c r="R7" i="20"/>
  <c r="M37" i="20"/>
  <c r="M36" i="20" s="1"/>
  <c r="C46" i="21"/>
  <c r="AE34" i="9"/>
  <c r="AC34" i="9" s="1"/>
  <c r="AC31" i="9" s="1"/>
  <c r="AE33" i="2"/>
  <c r="AC33" i="2" s="1"/>
  <c r="AE66" i="2"/>
  <c r="AC66" i="2" s="1"/>
  <c r="AE76" i="2"/>
  <c r="AC76" i="2" s="1"/>
  <c r="AE33" i="17"/>
  <c r="AC33" i="17" s="1"/>
  <c r="M20" i="16"/>
  <c r="M34" i="16"/>
  <c r="M49" i="16"/>
  <c r="C62" i="22"/>
  <c r="C58" i="22" s="1"/>
  <c r="D74" i="22"/>
  <c r="L74" i="22" s="1"/>
  <c r="E74" i="22"/>
  <c r="AE16" i="9"/>
  <c r="AC16" i="9" s="1"/>
  <c r="AC14" i="9" s="1"/>
  <c r="AE28" i="2"/>
  <c r="AC28" i="2" s="1"/>
  <c r="AE74" i="2"/>
  <c r="AC74" i="2" s="1"/>
  <c r="AE41" i="17"/>
  <c r="AC41" i="17" s="1"/>
  <c r="AE51" i="17"/>
  <c r="AC51" i="17" s="1"/>
  <c r="M16" i="6"/>
  <c r="M24" i="6"/>
  <c r="M35" i="16"/>
  <c r="F18" i="20"/>
  <c r="F7" i="20" s="1"/>
  <c r="C79" i="21"/>
  <c r="C70" i="21" s="1"/>
  <c r="E26" i="22"/>
  <c r="C43" i="22"/>
  <c r="C75" i="22"/>
  <c r="C74" i="22" s="1"/>
  <c r="AL14" i="9"/>
  <c r="AE41" i="2"/>
  <c r="AC41" i="2" s="1"/>
  <c r="AE54" i="2"/>
  <c r="AC54" i="2" s="1"/>
  <c r="AE20" i="17"/>
  <c r="AC20" i="17" s="1"/>
  <c r="AE69" i="17"/>
  <c r="AC69" i="17" s="1"/>
  <c r="N18" i="20"/>
  <c r="C49" i="22"/>
  <c r="E57" i="22"/>
  <c r="F26" i="22"/>
  <c r="F29" i="23"/>
  <c r="AE80" i="2"/>
  <c r="AC80" i="2" s="1"/>
  <c r="AL27" i="9"/>
  <c r="AE17" i="2"/>
  <c r="AC17" i="2" s="1"/>
  <c r="AC14" i="2" s="1"/>
  <c r="AE31" i="2"/>
  <c r="AC31" i="2" s="1"/>
  <c r="AE44" i="2"/>
  <c r="AC44" i="2" s="1"/>
  <c r="AE62" i="2"/>
  <c r="AC62" i="2" s="1"/>
  <c r="AE29" i="17"/>
  <c r="AC29" i="17" s="1"/>
  <c r="AE39" i="17"/>
  <c r="AC39" i="17" s="1"/>
  <c r="AE77" i="17"/>
  <c r="AC77" i="17" s="1"/>
  <c r="M13" i="8"/>
  <c r="M18" i="6"/>
  <c r="X14" i="13"/>
  <c r="W50" i="16"/>
  <c r="V50" i="16" s="1"/>
  <c r="C17" i="21"/>
  <c r="E9" i="22"/>
  <c r="D27" i="22"/>
  <c r="D26" i="22" s="1"/>
  <c r="C28" i="22"/>
  <c r="C27" i="22" s="1"/>
  <c r="C26" i="22" s="1"/>
  <c r="C9" i="21"/>
  <c r="AF33" i="13"/>
  <c r="AG14" i="13"/>
  <c r="AE29" i="9"/>
  <c r="AE42" i="2"/>
  <c r="AC42" i="2" s="1"/>
  <c r="M17" i="6"/>
  <c r="W17" i="6"/>
  <c r="V17" i="6" s="1"/>
  <c r="F11" i="16"/>
  <c r="F9" i="16" s="1"/>
  <c r="M40" i="16"/>
  <c r="W40" i="16"/>
  <c r="N38" i="16"/>
  <c r="L39" i="21"/>
  <c r="M15" i="6"/>
  <c r="W15" i="6"/>
  <c r="V15" i="6" s="1"/>
  <c r="V12" i="6"/>
  <c r="M23" i="6"/>
  <c r="W23" i="6"/>
  <c r="V23" i="6" s="1"/>
  <c r="M21" i="16"/>
  <c r="W21" i="16"/>
  <c r="V21" i="16" s="1"/>
  <c r="M13" i="18"/>
  <c r="N12" i="18"/>
  <c r="W13" i="18"/>
  <c r="F8" i="21"/>
  <c r="AC16" i="17"/>
  <c r="AC14" i="17" s="1"/>
  <c r="AE14" i="17"/>
  <c r="M14" i="8"/>
  <c r="W14" i="8"/>
  <c r="V14" i="8" s="1"/>
  <c r="I9" i="23"/>
  <c r="M17" i="23"/>
  <c r="N11" i="6"/>
  <c r="N9" i="6" s="1"/>
  <c r="M12" i="8"/>
  <c r="N11" i="8"/>
  <c r="N9" i="8" s="1"/>
  <c r="W12" i="8"/>
  <c r="M13" i="6"/>
  <c r="M11" i="6" s="1"/>
  <c r="M9" i="6" s="1"/>
  <c r="W13" i="6"/>
  <c r="V13" i="6" s="1"/>
  <c r="M30" i="16"/>
  <c r="N29" i="16"/>
  <c r="W30" i="16"/>
  <c r="M18" i="18"/>
  <c r="W18" i="18"/>
  <c r="V18" i="18" s="1"/>
  <c r="M21" i="6"/>
  <c r="W21" i="6"/>
  <c r="V21" i="6" s="1"/>
  <c r="M19" i="6"/>
  <c r="W19" i="6"/>
  <c r="V19" i="6" s="1"/>
  <c r="AF43" i="13"/>
  <c r="AH14" i="13"/>
  <c r="M48" i="16"/>
  <c r="M47" i="16" s="1"/>
  <c r="M46" i="16" s="1"/>
  <c r="N47" i="16"/>
  <c r="N46" i="16" s="1"/>
  <c r="W48" i="16"/>
  <c r="Z15" i="16"/>
  <c r="N53" i="16"/>
  <c r="W16" i="18"/>
  <c r="V16" i="18" s="1"/>
  <c r="M16" i="18"/>
  <c r="D70" i="21"/>
  <c r="M22" i="16"/>
  <c r="M31" i="16"/>
  <c r="M12" i="20"/>
  <c r="M7" i="20" s="1"/>
  <c r="E70" i="21"/>
  <c r="E8" i="21" s="1"/>
  <c r="F8" i="22"/>
  <c r="N12" i="16"/>
  <c r="M27" i="16"/>
  <c r="M26" i="16" s="1"/>
  <c r="N26" i="16"/>
  <c r="W14" i="18"/>
  <c r="V14" i="18" s="1"/>
  <c r="M14" i="18"/>
  <c r="F70" i="21"/>
  <c r="W13" i="16"/>
  <c r="M38" i="16"/>
  <c r="M45" i="16"/>
  <c r="M44" i="16" s="1"/>
  <c r="N44" i="16"/>
  <c r="N7" i="20"/>
  <c r="L42" i="22"/>
  <c r="C66" i="22"/>
  <c r="C57" i="22" s="1"/>
  <c r="M23" i="16"/>
  <c r="W27" i="16"/>
  <c r="M32" i="16"/>
  <c r="V54" i="16"/>
  <c r="V53" i="16" s="1"/>
  <c r="W53" i="16"/>
  <c r="F25" i="21"/>
  <c r="L25" i="21" s="1"/>
  <c r="C40" i="21"/>
  <c r="C39" i="21" s="1"/>
  <c r="F16" i="23"/>
  <c r="F11" i="23" s="1"/>
  <c r="N11" i="23" s="1"/>
  <c r="V43" i="16"/>
  <c r="V42" i="16" s="1"/>
  <c r="W42" i="16"/>
  <c r="F9" i="8"/>
  <c r="M20" i="18"/>
  <c r="M19" i="18" s="1"/>
  <c r="N19" i="18"/>
  <c r="D57" i="22"/>
  <c r="L57" i="22" s="1"/>
  <c r="AE14" i="9" l="1"/>
  <c r="L9" i="22"/>
  <c r="E8" i="22"/>
  <c r="AE31" i="9"/>
  <c r="C42" i="22"/>
  <c r="AF14" i="13"/>
  <c r="AE14" i="13" s="1"/>
  <c r="AC14" i="13" s="1"/>
  <c r="M12" i="16"/>
  <c r="F9" i="23"/>
  <c r="C8" i="22"/>
  <c r="AE14" i="2"/>
  <c r="L26" i="22"/>
  <c r="M29" i="16"/>
  <c r="M11" i="16" s="1"/>
  <c r="M9" i="16" s="1"/>
  <c r="W12" i="18"/>
  <c r="W11" i="18" s="1"/>
  <c r="W9" i="18" s="1"/>
  <c r="V13" i="18"/>
  <c r="V12" i="18" s="1"/>
  <c r="V11" i="18" s="1"/>
  <c r="V9" i="18" s="1"/>
  <c r="W11" i="6"/>
  <c r="W9" i="6" s="1"/>
  <c r="AE27" i="9"/>
  <c r="AC29" i="9"/>
  <c r="AC27" i="9" s="1"/>
  <c r="V27" i="16"/>
  <c r="V26" i="16" s="1"/>
  <c r="W26" i="16"/>
  <c r="W47" i="16"/>
  <c r="W46" i="16" s="1"/>
  <c r="V48" i="16"/>
  <c r="V47" i="16" s="1"/>
  <c r="V46" i="16" s="1"/>
  <c r="N11" i="18"/>
  <c r="N9" i="18" s="1"/>
  <c r="M12" i="18"/>
  <c r="M11" i="18" s="1"/>
  <c r="M9" i="18" s="1"/>
  <c r="W11" i="8"/>
  <c r="W9" i="8" s="1"/>
  <c r="V12" i="8"/>
  <c r="V11" i="8" s="1"/>
  <c r="V9" i="8" s="1"/>
  <c r="Z10" i="16"/>
  <c r="Z14" i="16" s="1"/>
  <c r="W38" i="16"/>
  <c r="V40" i="16"/>
  <c r="V38" i="16" s="1"/>
  <c r="V11" i="6"/>
  <c r="V9" i="6" s="1"/>
  <c r="M11" i="8"/>
  <c r="M9" i="8" s="1"/>
  <c r="D8" i="22"/>
  <c r="L8" i="22" s="1"/>
  <c r="L9" i="23"/>
  <c r="S18" i="23"/>
  <c r="V13" i="16"/>
  <c r="V12" i="16" s="1"/>
  <c r="W12" i="16"/>
  <c r="N11" i="16"/>
  <c r="N9" i="16" s="1"/>
  <c r="L70" i="21"/>
  <c r="D8" i="21"/>
  <c r="L8" i="21" s="1"/>
  <c r="V30" i="16"/>
  <c r="V29" i="16" s="1"/>
  <c r="W29" i="16"/>
  <c r="C8" i="21"/>
  <c r="W11" i="16" l="1"/>
  <c r="W9" i="16" s="1"/>
  <c r="V11" i="16"/>
  <c r="V9" i="16" s="1"/>
  <c r="X57" i="16"/>
</calcChain>
</file>

<file path=xl/sharedStrings.xml><?xml version="1.0" encoding="utf-8"?>
<sst xmlns="http://schemas.openxmlformats.org/spreadsheetml/2006/main" count="2296" uniqueCount="814">
  <si>
    <t>Phụ lục 1</t>
  </si>
  <si>
    <t>TÌNH HÌNH THỰC HIỆN KẾ HOẠCH ĐẦU TƯ CÔNG TRUNG HẠN VỐN NGÂN SÁCH TRUNG ƯƠNG GIAI ĐOẠN 2021-2025</t>
  </si>
  <si>
    <t>Đơn vị tính: Triệu đồng.</t>
  </si>
  <si>
    <t>STT</t>
  </si>
  <si>
    <t>Ngành, lĩnh vực
(tại sheet Ngành, lĩnh vực theo Nghị định 85/2025/NĐ-CP)</t>
  </si>
  <si>
    <t xml:space="preserve">Mã quan hệ ngân sách
</t>
  </si>
  <si>
    <t xml:space="preserve">Nguồn vốn (QTQG, LKV, HTMT, PHKT, DP, TT) 
</t>
  </si>
  <si>
    <t>Danh mục dự án</t>
  </si>
  <si>
    <t>Thông tin Quyết định phê duyệt chủ trương đầu tư/Quyết định duyệt dự án đầu tư</t>
  </si>
  <si>
    <t>Năm đầu tiên bố trí vốn "thực hiện dự án"</t>
  </si>
  <si>
    <t>Kế hoạch đầu tư công trung hạn vốn NS trung ương đã giao 2021-2025</t>
  </si>
  <si>
    <t>Kế hoạch vốn NS trung ương giao hằng năm từ năm 2021 đến năm 2025</t>
  </si>
  <si>
    <t xml:space="preserve">Kế hoạch vốn NS trung ương hằng năm được cấp có thẩm quyền cho phép kéo dài </t>
  </si>
  <si>
    <t>Lũy kế giải ngân vốn NS trung ương từ đầu dự án đến năm 2025 (số giải ngân 2024 kéo dài và 2025 là số ước)</t>
  </si>
  <si>
    <t>Ghi chú</t>
  </si>
  <si>
    <t>Quyết định phê duyệt chủ trương đầu tư</t>
  </si>
  <si>
    <t>Quyết định duyệt dự án đầu tư</t>
  </si>
  <si>
    <t>Tổng số (công thức có sẵn không sửa)</t>
  </si>
  <si>
    <t>Bao gồm:</t>
  </si>
  <si>
    <t>Trong đó</t>
  </si>
  <si>
    <r>
      <rPr>
        <b/>
        <sz val="12"/>
        <color rgb="FFFF0000"/>
        <rFont val="Times New Roman"/>
        <charset val="134"/>
      </rPr>
      <t xml:space="preserve">Tổng số vốn NS tỉnh </t>
    </r>
    <r>
      <rPr>
        <i/>
        <sz val="12"/>
        <color rgb="FFFF0000"/>
        <rFont val="Times New Roman"/>
        <charset val="134"/>
      </rPr>
      <t>(công thức sẵn, không sửa)</t>
    </r>
  </si>
  <si>
    <t>Trong đó: chi tiết theo từng giai đoạn</t>
  </si>
  <si>
    <t>Số/ngày</t>
  </si>
  <si>
    <t>TMĐT</t>
  </si>
  <si>
    <t>Địa điểm XD</t>
  </si>
  <si>
    <t>Năng lực thiết kế</t>
  </si>
  <si>
    <t>Thời gian</t>
  </si>
  <si>
    <t xml:space="preserve">Năm 2021 </t>
  </si>
  <si>
    <t xml:space="preserve">Năm 2022 </t>
  </si>
  <si>
    <t xml:space="preserve">Năm 2023 </t>
  </si>
  <si>
    <t xml:space="preserve">Năm 2024 </t>
  </si>
  <si>
    <t xml:space="preserve">Năm 2025 </t>
  </si>
  <si>
    <t>Năm 2021 kéo dài sang 2022</t>
  </si>
  <si>
    <t xml:space="preserve">Năm 2022 kéo dài sang 2023 </t>
  </si>
  <si>
    <t>Năm 2023 kéo dài sang 2024</t>
  </si>
  <si>
    <t>Năm 2024 kéo dài sang 2025</t>
  </si>
  <si>
    <t>Lũy kế vốn NS trung ương giải ngân đến hết 2020</t>
  </si>
  <si>
    <t>Lũy kế giải ngân vốn NS trung ương từ năm 2021 đến năm 2025 (số giải ngân 2024 kéo dài và 2025 là số ước)</t>
  </si>
  <si>
    <t>Tổng số (tất cả các nguồn vốn TW, Tỉnh,  Khác)</t>
  </si>
  <si>
    <t>Trong đó: NS trung ương</t>
  </si>
  <si>
    <t>Khởi công</t>
  </si>
  <si>
    <t>Hoàn thành</t>
  </si>
  <si>
    <r>
      <rPr>
        <b/>
        <sz val="12"/>
        <color rgb="FFFF0000"/>
        <rFont val="Times New Roman"/>
        <charset val="134"/>
      </rPr>
      <t xml:space="preserve">Tổng số </t>
    </r>
    <r>
      <rPr>
        <i/>
        <sz val="12"/>
        <color rgb="FFFF0000"/>
        <rFont val="Times New Roman"/>
        <charset val="134"/>
      </rPr>
      <t xml:space="preserve"> (công thức có sẵn, không sửa)</t>
    </r>
  </si>
  <si>
    <t>Bao gồm</t>
  </si>
  <si>
    <t xml:space="preserve">Giải ngân vốn NS tỉnh giao hằng năm </t>
  </si>
  <si>
    <t xml:space="preserve">Giải ngân vốn NS trung ương kéo dài </t>
  </si>
  <si>
    <r>
      <rPr>
        <b/>
        <sz val="12"/>
        <color rgb="FFFF0000"/>
        <rFont val="Times New Roman"/>
        <charset val="134"/>
      </rPr>
      <t xml:space="preserve">Tổng  </t>
    </r>
    <r>
      <rPr>
        <i/>
        <sz val="12"/>
        <color rgb="FFFF0000"/>
        <rFont val="Times New Roman"/>
        <charset val="134"/>
      </rPr>
      <t>(công thức có sẵn, không sửa)</t>
    </r>
  </si>
  <si>
    <t>Trong đó:</t>
  </si>
  <si>
    <r>
      <rPr>
        <b/>
        <sz val="12"/>
        <color rgb="FFFF0000"/>
        <rFont val="Times New Roman"/>
        <charset val="134"/>
      </rPr>
      <t>Tổng</t>
    </r>
    <r>
      <rPr>
        <sz val="12"/>
        <color rgb="FFFF0000"/>
        <rFont val="Times New Roman"/>
        <charset val="134"/>
      </rPr>
      <t xml:space="preserve">  </t>
    </r>
    <r>
      <rPr>
        <i/>
        <sz val="12"/>
        <color rgb="FFFF0000"/>
        <rFont val="Times New Roman"/>
        <charset val="134"/>
      </rPr>
      <t>(công thức có sẵn, không sửa)</t>
    </r>
  </si>
  <si>
    <t>Năm 2021</t>
  </si>
  <si>
    <t>Năm 2022</t>
  </si>
  <si>
    <t>Năm 2023</t>
  </si>
  <si>
    <t>Năm 2024</t>
  </si>
  <si>
    <t>Ước Năm 2025</t>
  </si>
  <si>
    <t>Năm 2022 kéo dài sang 2023</t>
  </si>
  <si>
    <t>18= 19+…+23</t>
  </si>
  <si>
    <t>24 = 25+26 +27+28</t>
  </si>
  <si>
    <t>29=30+31</t>
  </si>
  <si>
    <t>32=33+…+37</t>
  </si>
  <si>
    <t>38=39+…+42</t>
  </si>
  <si>
    <t>TỔNG CỘNG</t>
  </si>
  <si>
    <t>A</t>
  </si>
  <si>
    <t>Dự án chuyển tiếp từ giai đoạn 2016-2020 sang, dự kiến hoàn thành trong giai đoạn 2021-2025</t>
  </si>
  <si>
    <t>Giao thông</t>
  </si>
  <si>
    <t>…..</t>
  </si>
  <si>
    <t xml:space="preserve">Dự án ... (2 nguồn) </t>
  </si>
  <si>
    <t>Dự án thu hồi đất, bồi thường, hỗ trợ tái định cư Cảng hàng không quốc tế Long Thành</t>
  </si>
  <si>
    <t>trong đó:</t>
  </si>
  <si>
    <t xml:space="preserve">QTQG
</t>
  </si>
  <si>
    <t>Vốn ngân sách trung ương bố trí cho dự án quan trọng quốc gia</t>
  </si>
  <si>
    <t xml:space="preserve">DP
</t>
  </si>
  <si>
    <t>Vốn nguồn dự phòng ngân sách trung ương năm 2023 bố trí cho dự án quan trọng quốc gia tổng số là 2.510.372 triệu đồng được kéo dài sang năm 2024</t>
  </si>
  <si>
    <t>Xã hội</t>
  </si>
  <si>
    <t xml:space="preserve">HTMT
</t>
  </si>
  <si>
    <t>Dự án ... (1 nguồn: Vốn ngân sách trung ương hỗ trợ mục tiêu bố trí cho dự án)</t>
  </si>
  <si>
    <t>B</t>
  </si>
  <si>
    <t>Dự án khởi công mới, dự kiến hoàn thành trong giai đoạn 2021-2025</t>
  </si>
  <si>
    <t>Dự án ... (1 nguồn: Vốn ngân sách trung ương bố trí cho dự án quan trọng quốc gia)</t>
  </si>
  <si>
    <t>Dự án thành phần 4: Bồi thường, hỗ trợ, tái định cư đường Vành đai 3 đoạn qua tỉnh Đồng Nai</t>
  </si>
  <si>
    <t>Môi trường</t>
  </si>
  <si>
    <t>Y tế</t>
  </si>
  <si>
    <t xml:space="preserve">PHKT
</t>
  </si>
  <si>
    <t>Dự án... (1 nguồn: Vốn nguồn phục hồi và phát triển kinh tế xã hội bố trí cho dự án)</t>
  </si>
  <si>
    <t>Dự án ... (1 nguồn: Vốn nguồn phục hồi và phát triển kinh tế xã hội bố trí cho dự án)</t>
  </si>
  <si>
    <t>C</t>
  </si>
  <si>
    <t>Dự án khởi công mới, dự kiến hoàn thành sau giai đoạn 2021-2025</t>
  </si>
  <si>
    <t>Dự án ... (2 nguồn)</t>
  </si>
  <si>
    <t xml:space="preserve">Dự án thành phần 1 thuộc Dự án đầu tư xây dựng đường bộ cao tốc Biên Hòa - Vũng Tàu giai đoạn 1 </t>
  </si>
  <si>
    <t>Vốn nguồn phục hồi và phát triển kinh tế xã hội bố trí cho dự án quan trọng quốc gia</t>
  </si>
  <si>
    <t>Dự án thành phần 3: Xây dựng đường Vành đai 3 đoạn qua tỉnh Đồng Nai thuộc Dự án đầu tư xây dựng đường Vành đai 3 thành phố Hồ Chí Minh</t>
  </si>
  <si>
    <t xml:space="preserve">TT
</t>
  </si>
  <si>
    <t>Vốn nguồn tăng thu ngân sách trung ương năm 2021 bố trí cho dự án quan trọng quốc gia tổng số 150.000 triệu đồng</t>
  </si>
  <si>
    <t xml:space="preserve">LKV
</t>
  </si>
  <si>
    <t>Dự án ... (1 nguồn: Vốn ngân sách trung ương bố trí cho dự án có tính chất liên kết vùng)</t>
  </si>
  <si>
    <t>Dự án xây dựng Đường Liên Cảng</t>
  </si>
  <si>
    <t>Phụ lục 2</t>
  </si>
  <si>
    <t>TÌNH HÌNH THỰC HIỆN KẾ HOẠCH ĐẦU TƯ CÔNG TRUNG HẠN VỐN NGÂN SÁCH TỈNH GIAI ĐOẠN 2021-2025</t>
  </si>
  <si>
    <t xml:space="preserve">Nguồn vốn (NSTT, XSKT, ĐAT, DN) 
</t>
  </si>
  <si>
    <t>Kế hoạch đầu tư công trung hạn vốn NS tỉnh đã giao 2021-2025</t>
  </si>
  <si>
    <t>Kế hoạch vốn NS tỉnh giao hằng năm từ năm 2021 đến năm 2025</t>
  </si>
  <si>
    <t xml:space="preserve">Kế hoạch vốn NS tỉnh hằng năm được cấp có thẩm quyền cho phép kéo dài </t>
  </si>
  <si>
    <t>Lũy kế giải ngân vốn NS tỉnh từ đầu dự án đến năm 2025 (số giải ngân 2024 kéo dài và 2025 là số ước)</t>
  </si>
  <si>
    <t>Lũy kế giải ngân vốn NS tỉnh từ năm 2021 đến năm 2025 (số giải ngân 2024 kéo dài và 2025 là số ước)</t>
  </si>
  <si>
    <t>Tổng số (tất cả các nguồn vốn TW, Tỉnh, Huyện, Khác)</t>
  </si>
  <si>
    <t>Trong đó: NS tỉnh</t>
  </si>
  <si>
    <t xml:space="preserve">Giải ngân vốn NS tỉnh kéo dài </t>
  </si>
  <si>
    <t>Dự án 1 (4 nguồn)</t>
  </si>
  <si>
    <t>1000/QĐ-UBND ngày 01/03/2019</t>
  </si>
  <si>
    <t>BH</t>
  </si>
  <si>
    <t xml:space="preserve">5,5 km </t>
  </si>
  <si>
    <t>1100/QĐ-UBND ngày 01/10/2019</t>
  </si>
  <si>
    <t xml:space="preserve">NSTT
</t>
  </si>
  <si>
    <t>Nguồn ngân sách tập trung</t>
  </si>
  <si>
    <t xml:space="preserve">XSKT
</t>
  </si>
  <si>
    <t>Nguồn xổ số kiến thiết</t>
  </si>
  <si>
    <t>ĐAT</t>
  </si>
  <si>
    <t>Nguồn đất</t>
  </si>
  <si>
    <t>DN</t>
  </si>
  <si>
    <t>Nguồn Quỹ sắp xếp doanh nghiệp</t>
  </si>
  <si>
    <t>…</t>
  </si>
  <si>
    <t>Dự án 2 (NST 50%, NSH 50%) (1 nguồn: Ngân sách tập trung)</t>
  </si>
  <si>
    <t>1001/QĐ-UBND ngày 01/05/2022</t>
  </si>
  <si>
    <t>LT-NT</t>
  </si>
  <si>
    <t xml:space="preserve">7 km </t>
  </si>
  <si>
    <t>1101/QĐ-UBND ngày 01/10/2022</t>
  </si>
  <si>
    <t>Dự án …</t>
  </si>
  <si>
    <t>D</t>
  </si>
  <si>
    <t>Chuẩn bị đầu tư</t>
  </si>
  <si>
    <t>Phụ lục 2.1</t>
  </si>
  <si>
    <t>TÌNH HÌNH THỰC HIỆN KẾ HOẠCH ĐẦU TƯ CÔNG TRUNG HẠN VỐN NGÂN SÁCH TỈNH HỖ TRỢ MỤC TIÊU CHO CẤP XÃ GIAI ĐOẠN 2021-2025</t>
  </si>
  <si>
    <t xml:space="preserve">Nguồn vốn (NSTT, XSKT) 
</t>
  </si>
  <si>
    <t>Tổng số (tất cả các nguồn vốn Tỉnh, Huyện, Khác)</t>
  </si>
  <si>
    <t>Dự án 1 ( 2 nguồn)</t>
  </si>
  <si>
    <t>TP</t>
  </si>
  <si>
    <t>ĐQ</t>
  </si>
  <si>
    <t>Phụ lục 3</t>
  </si>
  <si>
    <t>TÌNH HÌNH THỰC HIỆN KẾ HOẠCH ĐẦU TƯ CÔNG TRUNG HẠN VỐN NGUỒN THU HỢP PHÁP CẤP TỈNH GIAI ĐOẠN 2021-2025</t>
  </si>
  <si>
    <t>Lũy kế vốn thu hợp pháp giải ngân đến hết 2020</t>
  </si>
  <si>
    <t>Kế hoạch đầu tư công trung hạn vốn thu hợp pháp đã giao 2021-2025</t>
  </si>
  <si>
    <t>Kế hoạch vốn nguồn thu hợp pháp giao hằng năm từ năm 2021 đến năm 2025</t>
  </si>
  <si>
    <t>Lũy kế giải ngân vốn nguồn thu hợp pháp từ đầu dự án đến năm 2025 (số giải ngân 2025 là số ước)</t>
  </si>
  <si>
    <t>Năm 2025</t>
  </si>
  <si>
    <t xml:space="preserve">Ước Năm 2025 </t>
  </si>
  <si>
    <t>Tổng số (tất cả các nguồn vốn)</t>
  </si>
  <si>
    <t>Trong đó: nguồn thu hợp pháp</t>
  </si>
  <si>
    <t>Dự án 1</t>
  </si>
  <si>
    <t>1002/QĐ-UBND ngày 01/05/2020</t>
  </si>
  <si>
    <t>xây dựng khối nhà 02 tầng …</t>
  </si>
  <si>
    <t>1103/QĐ-UBND ngày 01/06/2020</t>
  </si>
  <si>
    <t>1004/QĐ-UBND ngày 01/05/2022</t>
  </si>
  <si>
    <t>1105/QĐ-UBND ngày 15/05/2022</t>
  </si>
  <si>
    <t>Biểu 1</t>
  </si>
  <si>
    <t>DANH MỤC DỰ ÁN KẾ HOẠCH ĐẦU TƯ CÔNG TRUNG HẠN VỐN NGÂN SÁCH TRUNG ƯƠNG GIAI ĐOẠN 2026-2030</t>
  </si>
  <si>
    <t>Thông tin Quyết định phê duyệt chủ trương đầu tư (hoặc Văn bản chấp thuận lập hồ sơ chủ trương đầu tư đối với dự án dự kiến triển khai giai đoạn 2026-2030)/Quyết định duyệt dự án đầu tư</t>
  </si>
  <si>
    <t xml:space="preserve">Lũy kế vốn bố trí từ đầu tư án đến hết năm 2025 </t>
  </si>
  <si>
    <t>Lũy kế giải ngân từ đầu dự án đến năm 2025 (số giải ngân 2024 kéo dài và 2025 là số ước)</t>
  </si>
  <si>
    <t>Vốn bố trí còn thiếu so với TMĐT</t>
  </si>
  <si>
    <t>Nhu cầu kế hoạch trung hạn giai đoạn 2026-2030</t>
  </si>
  <si>
    <t>Tổng số (tất cả các nguồn vốn TW, Tỉnh)</t>
  </si>
  <si>
    <t>Trong đó: NS TW</t>
  </si>
  <si>
    <t>20 =13-18</t>
  </si>
  <si>
    <t>21=14-19</t>
  </si>
  <si>
    <t>Dự án chuyển tiếp từ giai đoạn 2021-2025 sang 2026-2030</t>
  </si>
  <si>
    <t>Dự án khởi công mới giai đoạn 2026-2030</t>
  </si>
  <si>
    <t xml:space="preserve">Chưa có mã </t>
  </si>
  <si>
    <t>Xây dựng đường DH Tân Hòa - Bình Dương, xã Tân Lợi</t>
  </si>
  <si>
    <t>xã Tân Lợi</t>
  </si>
  <si>
    <t xml:space="preserve">9 km </t>
  </si>
  <si>
    <t>Dự kiến duyệt dự án trong năm 2026</t>
  </si>
  <si>
    <t>2026</t>
  </si>
  <si>
    <t>Hoàn thiện mỡ rộng  theo QH 32m</t>
  </si>
  <si>
    <t>Xây dựng tuyến 3 nối dài đến ranh QH khu CN-DC Đồng Phú, xã Tân Lợi</t>
  </si>
  <si>
    <t>2,4km</t>
  </si>
  <si>
    <t>Mở mới theo QH 42m</t>
  </si>
  <si>
    <t>Thủy lợi</t>
  </si>
  <si>
    <t>Nạo vét Suối rạt</t>
  </si>
  <si>
    <t>xã Tân Lợi; xã Đồng Phú</t>
  </si>
  <si>
    <t>20km</t>
  </si>
  <si>
    <t>Xây dựng đường Chơn Thành - Đồng Phú đoạn qua xã Tân Lợi đến đường ĐT 753, xã Tân Lợi</t>
  </si>
  <si>
    <t>6km</t>
  </si>
  <si>
    <t>Dự kiến duyệt dự án trong năm 2027</t>
  </si>
  <si>
    <t>Chuẩn bị đầu tư trong giai đoạn 2026-2030, dự kiến thực hiện trong giai đoạn 2031-2035</t>
  </si>
  <si>
    <t>Phụ lục 5</t>
  </si>
  <si>
    <t>KẾ HOẠCH ĐẦU TƯ VỐN NGÂN SÁCH TRUNG ƯƠNG GIAI ĐOẠN 2026-2030 CỦA CÁC DỰ ÁN SỬ DỤNG VỐN ODA VÀ VỐN VAY ƯU ĐÃI CỦA CÁC NHÀ TÀI TRỢ NƯỚC NGOÀI</t>
  </si>
  <si>
    <t>Đơn vị tính: Triệu đồng</t>
  </si>
  <si>
    <t>TT</t>
  </si>
  <si>
    <t>Mã dự án</t>
  </si>
  <si>
    <t>Nhà tài trợ</t>
  </si>
  <si>
    <t>Ngày ký kết hiệp định</t>
  </si>
  <si>
    <t>Ngày kết thúc Hiệp định</t>
  </si>
  <si>
    <t>Quyết định đầu tư</t>
  </si>
  <si>
    <t>Lũy kế giải ngân từ khởi công đến hết 31/01/2025</t>
  </si>
  <si>
    <t>Dự kiến Kế hoạch năm 2025</t>
  </si>
  <si>
    <t>KH đầu tư trung hạn giai đoạn 2026-2030</t>
  </si>
  <si>
    <t xml:space="preserve">Số quyết định </t>
  </si>
  <si>
    <t xml:space="preserve">TMĐT </t>
  </si>
  <si>
    <t xml:space="preserve">Trong đó: </t>
  </si>
  <si>
    <t>Vốn đối ứng</t>
  </si>
  <si>
    <t>Vốn nước ngoài (theo Hiệp định)</t>
  </si>
  <si>
    <t>Vốn đối ứng nguồn NSTW</t>
  </si>
  <si>
    <t xml:space="preserve">Vốn nước ngoài (vốn NSTW) </t>
  </si>
  <si>
    <t>Tổng số</t>
  </si>
  <si>
    <t>Trong đó: thu hồi các khoản vốn ứng trước</t>
  </si>
  <si>
    <t>Trong đó: vốn NSTW</t>
  </si>
  <si>
    <t>Tính bằng nguyên tệ</t>
  </si>
  <si>
    <t>Quy đổi ra tiền Việt</t>
  </si>
  <si>
    <t>Đưa vào cân đối NSTW</t>
  </si>
  <si>
    <t>Vay lại</t>
  </si>
  <si>
    <t>19</t>
  </si>
  <si>
    <t>20</t>
  </si>
  <si>
    <t>21</t>
  </si>
  <si>
    <t>22</t>
  </si>
  <si>
    <t>23</t>
  </si>
  <si>
    <t>24</t>
  </si>
  <si>
    <t>25</t>
  </si>
  <si>
    <t>26</t>
  </si>
  <si>
    <t>TỔNG SỐ</t>
  </si>
  <si>
    <t>VỐN NƯỚC NGOÀI KHÔNG GIẢI NGÂN THEO CƠ CHẾ TÀI CHÍNH TRONG NƯỚC</t>
  </si>
  <si>
    <t>I</t>
  </si>
  <si>
    <t>a</t>
  </si>
  <si>
    <t>Dự án nhóm A</t>
  </si>
  <si>
    <t>(1)</t>
  </si>
  <si>
    <t>Dự án Hệ thống thoát nước và xử lý nước thải thành phố Biên Hòa (giai đoạn 1)</t>
  </si>
  <si>
    <t>Cơ quan Hợp tác quốc tế Nhật Bản (JICA)</t>
  </si>
  <si>
    <t>30/08/2017</t>
  </si>
  <si>
    <t>30/08/2027</t>
  </si>
  <si>
    <t>246/QĐ-UBND ngày 20/01/2017</t>
  </si>
  <si>
    <t>Biểu 2</t>
  </si>
  <si>
    <t>DANH MỤC DỰ ÁN KẾ HOẠCH ĐẦU TƯ CÔNG TRUNG HẠN VỐN NGÂN SÁCH TỈNH GIAI ĐOẠN 2026-2030</t>
  </si>
  <si>
    <t>Lũy kế vốn bố trí từ đầu dự án đến hết năm 2025</t>
  </si>
  <si>
    <t>Tổng số (tất cả các nguồn vốn TW, Tỉnh, Xã, Khác)</t>
  </si>
  <si>
    <t>Tổng số (tất cả các nguồn vốn TW, Xã, Huyện, Khác)</t>
  </si>
  <si>
    <t>TỔNG CỘNG A+B+C</t>
  </si>
  <si>
    <t>Xây dựng tuyến 2 nối dài đến ranh QH khu CN-DC Đồng Phú, xã Tân Lợi</t>
  </si>
  <si>
    <t>3,5km</t>
  </si>
  <si>
    <t>Mở mới theo QH 65m</t>
  </si>
  <si>
    <t>Xây dựng tuyến 4 nối dài đến ranh QH khu CN-DC Đồng Phú, xã Tân Lợi</t>
  </si>
  <si>
    <t>1,1km</t>
  </si>
  <si>
    <t>Xây dựng tuyến kết nối số 7 đến đường ĐT 753, xã Tân Lợi</t>
  </si>
  <si>
    <t>11km</t>
  </si>
  <si>
    <t>Xây dựng Cầu ông Ký xã Tân Lợi</t>
  </si>
  <si>
    <t>75m</t>
  </si>
  <si>
    <t>Nâng cấp mở rộng đường từ ngã ba ông Thanh đi cầu Hằng (giao cắt với đường Đồng Tiến - Tân Phú)</t>
  </si>
  <si>
    <t>2,3km</t>
  </si>
  <si>
    <t>Xây dựng đường trục chính từ UBND xã Tân Lợi mới đến đường Đồng Tiến - Tân Phú (Dabaco)</t>
  </si>
  <si>
    <t>7km</t>
  </si>
  <si>
    <t>Hoàn thiện mở rộng  theo QH 28m (điểm đầu: Ngã ba Đồng Bia - điểm cuối: Dabaco)</t>
  </si>
  <si>
    <t>Nâng cấp mở rộng đường Tân Phú - Tân Hưng, xã Tân Lợi (từ cầu Ký đến ngã ba ấp 5)</t>
  </si>
  <si>
    <t>5,5km</t>
  </si>
  <si>
    <t>Hoàn thiện mở rộng  theo QH 28m</t>
  </si>
  <si>
    <t>Xây dựng đường từ Cầu Mới đến Trung tâm xã Tân Lợi</t>
  </si>
  <si>
    <t>8,5km</t>
  </si>
  <si>
    <t>Dự kiến duyệt dự án trong năm 2028</t>
  </si>
  <si>
    <t>Nâng cấp mở rộng đường TTHC xã Tân Lợi đi ĐT 753 ấp Thạch Màng, xã Tân Lợi</t>
  </si>
  <si>
    <t>8,8km</t>
  </si>
  <si>
    <t>Dự kiến duyệt dự án trong năm 2029</t>
  </si>
  <si>
    <t>Hoàn thiện mở rộng  theo QH 32m (điểm đầu: Ngã ba Đồng Bia - điểm cuối: ĐT 753)</t>
  </si>
  <si>
    <t>Xây dựng đường kết nối từ CCN Tân Hưng đi ĐT 753</t>
  </si>
  <si>
    <t>Mở mới theo QH 26m</t>
  </si>
  <si>
    <t>Xây dựng</t>
  </si>
  <si>
    <t>Xây dựng trường THPT Tân Lợi</t>
  </si>
  <si>
    <t xml:space="preserve">800-1000 học sinh </t>
  </si>
  <si>
    <t>Dự kiến duyệt dự án trong năm 2030</t>
  </si>
  <si>
    <t>khoảng 1ha</t>
  </si>
  <si>
    <t>Nâng cấp mở rộng đường DH Tân Tiến - Tân Hòa (từ Tuyến kết nối số 3 đến Cụm Công nghiệp Tân Tiến 2), xã Tân Lợi</t>
  </si>
  <si>
    <t>3,3km</t>
  </si>
  <si>
    <t>Hạ tầng ngoài ranh KCN</t>
  </si>
  <si>
    <t xml:space="preserve">đầu tư hạ tầng ngoài ranh khu, cụm công nghiệp trên địa bàn xã Tân Lợi </t>
  </si>
  <si>
    <t>Phụ lục 7</t>
  </si>
  <si>
    <t>DANH MỤC DỰ ÁN KẾ HOẠCH ĐẦU TƯ CÔNG TRUNG HẠN VỐN NGUỒN THU HỢP PHÁP CẤP TỈNH GIAI ĐOẠN 2026-2030</t>
  </si>
  <si>
    <t>Lũy kế vốn bố trí từ đầu tư án đến hết năm 2025</t>
  </si>
  <si>
    <t>Chuẩn bị đầu tư trong giai đoạn 2026-2030, dự kiến thực hiện trong giia đoạn 2031-2035</t>
  </si>
  <si>
    <t>TÌNH HÌNH THỰC HIỆN KẾ HOẠCH ĐẦU TƯ CÔNG TRUNG HẠN VỐN NGÂN SÁCH CẤP XÃ GIAI ĐOẠN 2021-2025</t>
  </si>
  <si>
    <t xml:space="preserve">Nguồn vốn (NSTT, XSKT, ĐAT, KHAC) 
</t>
  </si>
  <si>
    <t>Kế hoạch đầu tư công trung hạn vốn NS cấp xã đã giao 2021-2025</t>
  </si>
  <si>
    <t>Kế hoạch vốn NS cấp xã giao hằng năm từ năm 2021 đến năm 2025</t>
  </si>
  <si>
    <t xml:space="preserve">Kế hoạch vốn NS cấp xã hằng năm được cấp có thẩm quyền cho phép kéo dài </t>
  </si>
  <si>
    <t>Lũy kế giải ngân vốn NS cấp xã từ đầu dự án đến năm 2025 (số giải ngân 2024 và 2025 là số ước)</t>
  </si>
  <si>
    <r>
      <rPr>
        <b/>
        <sz val="12"/>
        <rFont val="Times New Roman"/>
        <charset val="134"/>
      </rPr>
      <t xml:space="preserve">Tổng số vốn NS tỉnh </t>
    </r>
    <r>
      <rPr>
        <i/>
        <sz val="12"/>
        <rFont val="Times New Roman"/>
        <charset val="134"/>
      </rPr>
      <t>(công thức sẵn, không sửa)</t>
    </r>
  </si>
  <si>
    <t xml:space="preserve">Năm 2021  sang 2022 </t>
  </si>
  <si>
    <t xml:space="preserve">Năm 2022  sang 2023 </t>
  </si>
  <si>
    <t xml:space="preserve">Năm 2023  sang 2024 </t>
  </si>
  <si>
    <t xml:space="preserve">Năm 2024  sang 2025 </t>
  </si>
  <si>
    <t>Lũy kế vốn NS tỉnh giải ngân đến hết 2020</t>
  </si>
  <si>
    <t>Lũy kế giải ngân vốn NS cấp xã từ năm 2021 đến năm 2025 (số giải ngân 2024 và 2025 là số ước)</t>
  </si>
  <si>
    <t>Tổng số (tất cả các nguồn vốn Tỉnh, Xã, Khác)</t>
  </si>
  <si>
    <t>Trong đó: NS huyện</t>
  </si>
  <si>
    <r>
      <rPr>
        <b/>
        <sz val="12"/>
        <rFont val="Times New Roman"/>
        <charset val="134"/>
      </rPr>
      <t xml:space="preserve">Tổng số </t>
    </r>
    <r>
      <rPr>
        <i/>
        <sz val="12"/>
        <rFont val="Times New Roman"/>
        <charset val="134"/>
      </rPr>
      <t xml:space="preserve"> (công thức có sẵn, không sửa)</t>
    </r>
  </si>
  <si>
    <t xml:space="preserve">Giải ngân vốn NS cấp xã giao hằng năm </t>
  </si>
  <si>
    <t xml:space="preserve">Giải ngân vốn NS cấp xã kéo dài </t>
  </si>
  <si>
    <r>
      <rPr>
        <b/>
        <sz val="12"/>
        <rFont val="Times New Roman"/>
        <charset val="134"/>
      </rPr>
      <t xml:space="preserve">Tổng  </t>
    </r>
    <r>
      <rPr>
        <i/>
        <sz val="12"/>
        <rFont val="Times New Roman"/>
        <charset val="134"/>
      </rPr>
      <t>(công thức có sẵn, không sửa)</t>
    </r>
  </si>
  <si>
    <r>
      <rPr>
        <b/>
        <sz val="12"/>
        <rFont val="Times New Roman"/>
        <charset val="134"/>
      </rPr>
      <t>Tổng</t>
    </r>
    <r>
      <rPr>
        <sz val="12"/>
        <rFont val="Times New Roman"/>
        <charset val="134"/>
      </rPr>
      <t xml:space="preserve">  </t>
    </r>
    <r>
      <rPr>
        <i/>
        <sz val="12"/>
        <rFont val="Times New Roman"/>
        <charset val="134"/>
      </rPr>
      <t>(công thức có sẵn, không sửa)</t>
    </r>
  </si>
  <si>
    <t>Ước Năm 2024</t>
  </si>
  <si>
    <t>Ước Năm 2024 kéo dài sang 2025</t>
  </si>
  <si>
    <t>SDĐ</t>
  </si>
  <si>
    <t>Xây dựng đường BTXM từ ông Dư Văn Ba đi TĐC Công an tỉnh, ấp Thạch Màng</t>
  </si>
  <si>
    <t>1 ,0 km</t>
  </si>
  <si>
    <t>113/QD-UBND ngày 19/4/2021</t>
  </si>
  <si>
    <t>Xây dựng đường BTXM từ nhà ông Thánh đi nhà ông Hò ấp Đồng Bia</t>
  </si>
  <si>
    <t>1,7 km</t>
  </si>
  <si>
    <t>784/QD-UBND ngày 15/11/2021</t>
  </si>
  <si>
    <t>Xây dựng đường BTXM từ NVH ấp đến nhà ông Nông Văn Lương, ấp Đồng Bia</t>
  </si>
  <si>
    <t>0,450 km</t>
  </si>
  <si>
    <t>783/QD-UBND ngày 15/11/2021</t>
  </si>
  <si>
    <t>Xây dựng đường BTXM từ nhà ông Dụ đến nhà ông Đạt ấp Đồng Bia</t>
  </si>
  <si>
    <t>2,0 km</t>
  </si>
  <si>
    <t>785/QD-UBND ngày 15/11/2021</t>
  </si>
  <si>
    <t>Xây dựng đường BTXM từ cổng Nhà văn hóa ấp Pa Pếch đến đầu đường đất nhà ông Nguyên Văn Chung ấp Pa Pếch</t>
  </si>
  <si>
    <t>Xã Tân HƯng</t>
  </si>
  <si>
    <t>0,45 km</t>
  </si>
  <si>
    <t>70a/QD-UBND ngày 14/5/2021</t>
  </si>
  <si>
    <t>Xây dựng đường từ nhà ông Phạm Xuân Đông đi nhà ông Hoàng Trung Đông nấp Suối Đôi</t>
  </si>
  <si>
    <t>0,4 km</t>
  </si>
  <si>
    <t>350/QĐ-UBND ngày 15/12/2021</t>
  </si>
  <si>
    <t>Xây dựng đường BTXM từ đường nhựa Ấp Pa Pếch đi ấp Suối Nhung</t>
  </si>
  <si>
    <t>0,36 km</t>
  </si>
  <si>
    <t>65a//QD-UBND ngày 10/5/2021</t>
  </si>
  <si>
    <t>Xây dựng đường BTXM nối tiếp đường Đội 3, ấp Suối Nhung</t>
  </si>
  <si>
    <t>0,1 km</t>
  </si>
  <si>
    <t>73a/QD-UBND ngày 17/5/2021</t>
  </si>
  <si>
    <t>Xây dựng đường BTXM nối tiếp đường nhà ông Hiền đi cầu ông Cam</t>
  </si>
  <si>
    <t>71a/QD-UBND ngày 17/5/2021</t>
  </si>
  <si>
    <t>Xây dựng đường BTXM nối tiếp đường nhà ông Hà Văn Thăng đi nhà ông Hồ Đăng Sử ấp Pa Pếch</t>
  </si>
  <si>
    <t>0,08 km</t>
  </si>
  <si>
    <t>66a/QD-UBND ngày 13/5/2021</t>
  </si>
  <si>
    <t>Xây dựng đường BTXM đi nhà ông Thái ấp Pa Pếch</t>
  </si>
  <si>
    <t>0,3 km</t>
  </si>
  <si>
    <t>Xây dựng đường BTXM từ nhà bà Phạm Thị Vân đi Nguyễn Văn Phúc ấp Pa Pếch</t>
  </si>
  <si>
    <t>0,4km</t>
  </si>
  <si>
    <t>72a/QD-UBND ngày 17/5/2021</t>
  </si>
  <si>
    <t>Xây dựng đường BTXM đội 2 đi đội 5 ấp Suối Đôi</t>
  </si>
  <si>
    <t>67a/QD-UBND ngày 13/5/2021</t>
  </si>
  <si>
    <t>Xây dựng đường BTXM đi nhà ông Nguyễn Xuân Hà đội 3, ấp Suối Nhung</t>
  </si>
  <si>
    <t>1,8 km</t>
  </si>
  <si>
    <t>223/QD-UBND ngày 23/8/2021</t>
  </si>
  <si>
    <t>Xây dựng đường BTXM từ đường nhựa vào nhà ông Lê Hồng Đắc, ấp Suối Nhung</t>
  </si>
  <si>
    <t>0,95 km</t>
  </si>
  <si>
    <t>226/QD-UBND ngày 23/8/2021</t>
  </si>
  <si>
    <t>Xây dựng đường BTXM từ nhà ông Nguyễn Lam đi nhà ông Nguyễn Văn Hạnh ấp Pa Pếch</t>
  </si>
  <si>
    <t>0,85 km</t>
  </si>
  <si>
    <t>222/QD-UBND ngày 23/8/2021</t>
  </si>
  <si>
    <t>Xây dựng đường BTXM từ nhà ông Đại đến nhà ông Tới ấp Pa Pếch</t>
  </si>
  <si>
    <t>0,58 km</t>
  </si>
  <si>
    <t>221/QD-UBND ngày 23/8/2021</t>
  </si>
  <si>
    <t>Xây dựng đường BTXM từ đập tràn Suối Nhung đi ông Mưu ấp Cây Cầy</t>
  </si>
  <si>
    <t>0,65 km</t>
  </si>
  <si>
    <t>224/QD-UBND ngày 23/8/2021</t>
  </si>
  <si>
    <t>Xây dựng đường BTXM từ nhà ông Lê Viết Thanh ấp Suối Nhung</t>
  </si>
  <si>
    <t>225/QD-UBND ngày 23/8/2021</t>
  </si>
  <si>
    <t>Xây dựng đường BTXM từ ông Bốn đến tuyến số 3 đường kết nối ấp Đồng Chắc</t>
  </si>
  <si>
    <t>Xã Tân Hòa</t>
  </si>
  <si>
    <t>0,25 km</t>
  </si>
  <si>
    <t>895/QD-UBND ngày 17/11/2021</t>
  </si>
  <si>
    <t>Xây dựng đường BTXM từ ông Luân đến nhà ông Thuyết ấp Đồng Xê</t>
  </si>
  <si>
    <t>0,7 km</t>
  </si>
  <si>
    <t>890/QD-UBND ngày 12/11/2021</t>
  </si>
  <si>
    <t>Xây dựng đường BTXM từ ông Màu đến nhà bà Oanh ấp Đồng Xê</t>
  </si>
  <si>
    <t>889/QD-UBND ngày 12/11/2021</t>
  </si>
  <si>
    <t xml:space="preserve"> Tỉnh hỗ trợ BTXM</t>
  </si>
  <si>
    <t>Xây dụng mở rộng hai bên đường BTXM ấp Đồng Bia (từ nhà ông Phùng Văn Cao đến nhà ông Khẩu Thanh Sơn)</t>
  </si>
  <si>
    <t>0,93 km</t>
  </si>
  <si>
    <t>156/QD-UBND ngày 06/7/2022</t>
  </si>
  <si>
    <t>Xây dựng mở rộng hai bên đường BTXM ấp Trảng Tranh (từ trụ sở công an xã đến nhà ông Vương Văn Chén)</t>
  </si>
  <si>
    <t>1,75 km</t>
  </si>
  <si>
    <t>157/QD-UBND ngày 06/7/2022</t>
  </si>
  <si>
    <t>Xây dụng mở rộng hai bên đường BTXM ấp Trảng Tranh (từ ông Hiền Cao đến nhà ông Hoàng Văn Chiều)</t>
  </si>
  <si>
    <t>158/QD-UBND ngày 06/7/2022</t>
  </si>
  <si>
    <t>Xây dựng đường BTXM ấp Trảng Tranh (từ nhà ông Phan Văn Páo đến nhà ông Nông Văn Đồng)</t>
  </si>
  <si>
    <t>0,35 km</t>
  </si>
  <si>
    <t>159/QD-UBND ngày 06/7/2022</t>
  </si>
  <si>
    <t>Xây dựng đường BTXM từ nông trường cao su Tân Hưng vào khu Điểu Câu, ấp Thạch Màng</t>
  </si>
  <si>
    <t>0,150 km</t>
  </si>
  <si>
    <t>206/QD-UBND ngày 24/8/2022</t>
  </si>
  <si>
    <t>Xây dựng đường BTXM từ đường liên xã ấp Trảng Tranh đến nhà ông Đặng Văn Chắn, ấp Đồng Bia</t>
  </si>
  <si>
    <t>0,5 km</t>
  </si>
  <si>
    <t>207/QD-UBND ngày 24/8/2022</t>
  </si>
  <si>
    <t>Xây dụng mở rộng hai bên đường BTXM ấp Thạch Màng (từ nhà ông Hồ Văn Soạn đến nhà ông Hải Tường Vân)</t>
  </si>
  <si>
    <t>3,380  km</t>
  </si>
  <si>
    <t>208/QD-UBND ngày 24/8/2022</t>
  </si>
  <si>
    <t>Xây dụng mở rộng hai bên đường BTXM ấp Thạch Màng (từ nhà ông Quách Tuấn Bạch đến nhà ông Lê Hiền)</t>
  </si>
  <si>
    <t>1,980 km</t>
  </si>
  <si>
    <t>209/QD-UBND ngày 24/8/2022</t>
  </si>
  <si>
    <t>Xây dụng mở rộng hai bên đường BTXM ấp Thạch Màng (từ nhà ông Nguyễn Xuân Thủy đến Chùa Pháp Huyền)</t>
  </si>
  <si>
    <t>0,38 km</t>
  </si>
  <si>
    <t>210/QD-UBND ngày 24/8/2022</t>
  </si>
  <si>
    <t>Xây dựng đường BTXM từ ĐT753 ấp Cây Cầy đi ấp Suối Da</t>
  </si>
  <si>
    <t>xã Tân HƯng</t>
  </si>
  <si>
    <t>375/QD-UBND ngày 27/6/2022</t>
  </si>
  <si>
    <t>Xây dựng đường BTXM ấp Cây Cầy (từ ngã ba nhà ông Vũ Đức Mạnh Tường đi nhà ông Ba Hưng)</t>
  </si>
  <si>
    <t>2,3 km</t>
  </si>
  <si>
    <t>379/QD-UBND ngày 27/6/2022</t>
  </si>
  <si>
    <t>Xây dựng đường BTXM ấp Pa Pếch (từ nhà ông Tý đi nhà ông Cường)</t>
  </si>
  <si>
    <t>0,2 km</t>
  </si>
  <si>
    <t>377/QD-UBND ngày 27/6/2022</t>
  </si>
  <si>
    <t>Xây dựng đường BTXM đội 1 ấp Suối Nhung (từ ĐT753 đến nhà ông Nguyễn Đình Trọng)</t>
  </si>
  <si>
    <t>376/QD-UBND ngày 27/6/2022</t>
  </si>
  <si>
    <t>Xây dựng đường BTXM ấp Cây Cầy (từ nhà ông Vũ Xuân Tân đến nhà ông Võ Thanh Hùng)</t>
  </si>
  <si>
    <t>378/QD-UBND ngày 27/6/2022</t>
  </si>
  <si>
    <t>Xây dựng đường BTXM ấp Pa Pếch (từ nhà ông Nông Văn Đức đến nhà ông Nông Văn Thân)</t>
  </si>
  <si>
    <t>374/QD-UBND ngày 27/6/2022</t>
  </si>
  <si>
    <t>Xây dựng đường BTXM ấp Pa Pếch nối dài (từ nhà ông Nguyễn Văn Hạnh đến nhà ông Đoàn văn Sỹ)</t>
  </si>
  <si>
    <t>373/QD-UBND ngày 27/6/2022</t>
  </si>
  <si>
    <t xml:space="preserve"> Tỉnh hỗ trợ BTXM, SDĐ huyện</t>
  </si>
  <si>
    <t>Xây dựng đường BTXM từ nhà ông Sậu đến hết nhà ông Biên (ấp Đồng Chắc)</t>
  </si>
  <si>
    <t>xã Tân Hòa</t>
  </si>
  <si>
    <t>1,1 km</t>
  </si>
  <si>
    <t>64/QD-UBND ngày 15/6/2022</t>
  </si>
  <si>
    <t>8065876</t>
  </si>
  <si>
    <t xml:space="preserve">Xây dựng đường BTXM từ nhà ông Nguyễn Văn Hai – Nguyễn Văn Phong  đến thửa 169, tờ bản đồ số 26, ấp Đồng Bia </t>
  </si>
  <si>
    <t>0,17 km</t>
  </si>
  <si>
    <t>345/QD-UBND ngày 12/12/2023</t>
  </si>
  <si>
    <t>8065877</t>
  </si>
  <si>
    <t>Mở rộng 2 bên đường BTXM tuyến đường từ đường liên xã thửa số 181, tờ bản đồ số 3 đến nhà ông Vũ Đình Kỹ ấp Quân Y</t>
  </si>
  <si>
    <t>0,82 km</t>
  </si>
  <si>
    <t>344/QD-UBND ngày 12/12/2023</t>
  </si>
  <si>
    <t>8065872</t>
  </si>
  <si>
    <t>Mở rộng 2 bên đường BTXM tuyến đường từ đường liên xã thửa số 82, tờ bản đồ số 3 đến nhà bà Dương Thị Là ấp Quân Y; dài 540m (điểm đầu từ ngã ba đường liên xã)</t>
  </si>
  <si>
    <t>0,56 km</t>
  </si>
  <si>
    <t>346/QD-UBND ngày 12/12/2023</t>
  </si>
  <si>
    <t>8029697</t>
  </si>
  <si>
    <t>Xây dựng đường BTXM từ nhà bà Hà Đô đi ngã ba nhà ông Tỉnh, ấp Pa Pếch  (điểm đầu thửa số 30, tờ số 7; điểm cuối thửa số 171, tờ số 3)</t>
  </si>
  <si>
    <t>65/QD-UBND ngày 23/5/2023</t>
  </si>
  <si>
    <t>8029696</t>
  </si>
  <si>
    <t>Xây dựng đường BTXM nối tiếp từ nhà ông Nông Văn Thân (từ nhà ông Hoàng Văn Chung đến nhà ông Phùng Văn Hậu), ấp Pa Pếch  (điểm đầu thửa số 185, tờ số 3; điểm cuối thửa 199, tờ số 3)</t>
  </si>
  <si>
    <t>0,11 km</t>
  </si>
  <si>
    <t>8029695</t>
  </si>
  <si>
    <t>Xây dựng đường BTXM từ nhà ông Thạch Khâu ấp Pa Pếch  (điểm đầu thửa số 36, tờ số 7; điểm cuối thửa 26, tờ số 7)</t>
  </si>
  <si>
    <t>64/QD-UBND ngày 23/5/2023</t>
  </si>
  <si>
    <t>8029694</t>
  </si>
  <si>
    <t>Xây dựng đường BTXM từ nhà ông Thế đi nhà ông Lập ấp Cây Cầy (điểm đầu thửa số 338, tờ số 6; điểm cuối thửa số 183, tờ số 12)</t>
  </si>
  <si>
    <t>62/QD-UBND ngày 23/5/2023</t>
  </si>
  <si>
    <t>8029693</t>
  </si>
  <si>
    <t>Xây dựng đường BTXM từ nhà ông Phùng Trung Ngân  đi nhà bà Hồ Thị Ngọc Dung ấp Cây Cầy  (điểm đầu thửa 45, tờ số 11; điểm cuối thửa 93, tờ số 11)</t>
  </si>
  <si>
    <t>1,0 km</t>
  </si>
  <si>
    <t>67/QD-UBND ngày 23/5/2023</t>
  </si>
  <si>
    <t>8039218</t>
  </si>
  <si>
    <t>Xây dựng đường BTXM từ nhà bà Oanh đến nhà ông Ngọc ấp Đồng Xê (Tờ bản đồ số 9;14)</t>
  </si>
  <si>
    <t>1,2 km</t>
  </si>
  <si>
    <t>72/QD-UBND ngày 26/5/2023</t>
  </si>
  <si>
    <t>Xây dựng đường BTXM đi nhà ông Trịnh Văn Hòa, ấp Cây Cầy (Điểm đầu từ thửa số 355 tờ bản đồ số 6 điểm cuối thửa số 357 tờ bản đồ số 6)</t>
  </si>
  <si>
    <t>xã Tân Hưng</t>
  </si>
  <si>
    <t>0,9 km</t>
  </si>
  <si>
    <t>90/QĐ-UBND ngày 11/4/2025</t>
  </si>
  <si>
    <t>CTMQG tỉnh</t>
  </si>
  <si>
    <t>Mở rộng đường từ trung tâm xã đi Thạch Màng (đoạn từ ngã ba Đồng Bia đến ngã ba đường Ba Phương Út Linh)</t>
  </si>
  <si>
    <t>3,0 km</t>
  </si>
  <si>
    <t xml:space="preserve">1476/QĐ-UBND ngày 16/5/2025 </t>
  </si>
  <si>
    <t>2 ,0 km</t>
  </si>
  <si>
    <t>113/QD-UBND ngày 19/4/2022</t>
  </si>
  <si>
    <t>784/QD-UBND ngày 15/11/2022</t>
  </si>
  <si>
    <t>783/QD-UBND ngày 15/11/2022</t>
  </si>
  <si>
    <t>Phụ lục 9</t>
  </si>
  <si>
    <t>TÌNH HÌNH THỰC HIỆN KẾ HOẠCH ĐẦU TƯ CÔNG TRUNG HẠN VỐN NGUỒN THU HỢP PHÁP CẤP XÃ GIAI ĐOẠN 2021-2025</t>
  </si>
  <si>
    <t>Kế hoạch đầu tư công trung hạn vốnthu hợp pháp đã giao 2021-2025</t>
  </si>
  <si>
    <t>Dự kiến 2025</t>
  </si>
  <si>
    <t xml:space="preserve">Ước Năm 2024 </t>
  </si>
  <si>
    <t>Biểu 3</t>
  </si>
  <si>
    <t>DANH MỤC DỰ ÁN KẾ HOẠCH ĐẦU TƯ CÔNG TRUNG HẠN VỐN NGÂN SÁCH CẤP XÃ GIAI ĐOẠN 2026-2030</t>
  </si>
  <si>
    <t>Lũy kế giải ngân từ đầu dự án đến năm 2025 (số giải ngân năm 2024 kéo dài, 2025 là số ước)</t>
  </si>
  <si>
    <t>Trong đó: NS Xã</t>
  </si>
  <si>
    <t>Trong đó: NS xã</t>
  </si>
  <si>
    <t>Lĩnh vực giao thông</t>
  </si>
  <si>
    <t>Xây dựng đường từ Đồi trọc ấp 5 đến đường ĐT 753 xã Tân Lợi (nối tiếp)</t>
  </si>
  <si>
    <t>4km</t>
  </si>
  <si>
    <t>Xây dựng đường từ ngã Ba nhà Năm Tín đi Nam Đô, xã Tân Lợi</t>
  </si>
  <si>
    <t>2,2km</t>
  </si>
  <si>
    <t>Nâng cấp mở rộng đường Tân Phú - Tân Hưng, xã Tân Lợi</t>
  </si>
  <si>
    <t>2km</t>
  </si>
  <si>
    <t>Xây dựng đường từ ngã ba NVH ấp Suối Da đi ĐT 753</t>
  </si>
  <si>
    <t>5km</t>
  </si>
  <si>
    <t>Nâng cấp mở rộng đường TTHC xã Tân Hưng cũ đến Nghĩa trang nhân dân huyện Đồng Phú cũ ra ĐT 753</t>
  </si>
  <si>
    <t>Xã Tân Lợi</t>
  </si>
  <si>
    <t>4,7km</t>
  </si>
  <si>
    <t>nâng cấp láng nhựa đường từ ĐT 753 (ngã ba Tầm Vông) đi ấp Suối Nhung</t>
  </si>
  <si>
    <t>Xây dựng Cầu Suối Đôi xã Tân Lợi</t>
  </si>
  <si>
    <t>18m</t>
  </si>
  <si>
    <t>Xây dựng hoàn thiện đường, hạ tầng kỹ thuật khu TTHC xã Tân Lợi (Tân Hòa cũ)</t>
  </si>
  <si>
    <t>4,2km</t>
  </si>
  <si>
    <t>Xây dựng hoàn thiện đường, hạ tầng kỹ thuật khu TTHC xã Tân Lợi</t>
  </si>
  <si>
    <t>Xây dựng hoàn thiện đường, hạ tầng kỹ thuật khu TTHC xã Tân Lợi (Tân Hưng cũ)</t>
  </si>
  <si>
    <t>Xây dựng đường vành đai 2 (phía Đông hồ Tân Hòa), xã Tân Lợi</t>
  </si>
  <si>
    <t>2,7km</t>
  </si>
  <si>
    <t>Nâng cấp láng nhựa từ nhà ông Bình đi cầu Tiến, xã Tân Lợi</t>
  </si>
  <si>
    <t>2,5km</t>
  </si>
  <si>
    <t>Xây dựng đường kết nối từ tuyến 3 đi  Đồng Ớt, xã Tân Lợi</t>
  </si>
  <si>
    <t>1,7km</t>
  </si>
  <si>
    <t>II</t>
  </si>
  <si>
    <t>Lĩnh vực Công nghiệp</t>
  </si>
  <si>
    <t>Công nghiệp</t>
  </si>
  <si>
    <t>Nâng cấp hệ đường dây, trạm biến áp các khu trung tâm xã Tân Lợi</t>
  </si>
  <si>
    <t>Đầu tư hệ thống điện chiếu sáng các tuyến đường trục chính xã Tân Lợi</t>
  </si>
  <si>
    <t>10km</t>
  </si>
  <si>
    <t>III</t>
  </si>
  <si>
    <t>Lĩnh vực Giáo dục</t>
  </si>
  <si>
    <t>Giáo dục</t>
  </si>
  <si>
    <t xml:space="preserve">Xây dựng 04 phòng học và 04 phòng chức năng và một số hạng mục phụ trợ Trường MN Tân Hòa </t>
  </si>
  <si>
    <t>bỏ</t>
  </si>
  <si>
    <t>Xây dựng nhà  bếp, nhà ăn, hàng rào, nhà vệ sinh và sửa chữa 08 phòng học, nhà bảo vệ Trường TH và THCS Tân Hòa</t>
  </si>
  <si>
    <t>DT khoảng 250m2 hàng rào; nhà bảo vệ và cải tạo sửa chữa phòng học</t>
  </si>
  <si>
    <t>Xây dựng 10 phòng học Trường MN Tân Lợi và các hạng mục phụ trợ, ấp Thạch Màng</t>
  </si>
  <si>
    <t>Diện tích khoảng 900m2;</t>
  </si>
  <si>
    <t xml:space="preserve">Xây dựng 10 phòng học; nhà bếp, nhà ăn và các hạng mục phụ trợ,  Trường Tiểu học Tân Lợi </t>
  </si>
  <si>
    <t xml:space="preserve">Diện tích khoảng 850m2; </t>
  </si>
  <si>
    <t>Xây dựng 06 phòng học kết hợp phòng chức năng và mua sắm trang thiết bị để Trường MN Tân Hưng đạt chuẩn quốc gia</t>
  </si>
  <si>
    <t>Phòng học diện tích khoảng 650m2; Hội trường, phòng giáo viên…</t>
  </si>
  <si>
    <t>Xây dựng 06 phòng chức năng và nhà thi đấu đa năng, nhà bếp, nhà ăn, nhà vệ sinh Trường TH và THCS Tân Hưng</t>
  </si>
  <si>
    <t>diện tích 705m2
nhà đa năng 543m2</t>
  </si>
  <si>
    <t>Xây dựng 10 phòng học Trường THCS Tân Lợi và các hạng mục phụ trợ, ấp Thạch Màng</t>
  </si>
  <si>
    <t>Xây dựng khối hành chính quản trị và mua sắm trang thiết bị để Trường MN Tân Lợi đạt chuẩn quốc gia</t>
  </si>
  <si>
    <t>Khối hành chính khoảng 500m2 và trang thiết bị</t>
  </si>
  <si>
    <t>IV</t>
  </si>
  <si>
    <t>Lĩnh vực Quy hoạch</t>
  </si>
  <si>
    <t>Quy  hoạch</t>
  </si>
  <si>
    <t>Lập quy hoạch chung xã Tân Lợi</t>
  </si>
  <si>
    <t>15 ngàn dân</t>
  </si>
  <si>
    <t xml:space="preserve">Lập quy hoạch sử dụng đất xã Tân Lợi </t>
  </si>
  <si>
    <t>380km2</t>
  </si>
  <si>
    <t>Lập quy hoạch chi tiết khu vực Nông thôn</t>
  </si>
  <si>
    <t>khoảng 75ha</t>
  </si>
  <si>
    <t>V</t>
  </si>
  <si>
    <t>Lĩnh vực Môi trường</t>
  </si>
  <si>
    <t>Xây dựng bô rác trung chuyển và đường dẫn vào bô rác xã Tân Lợi</t>
  </si>
  <si>
    <t xml:space="preserve">khoảng 05 bô rác mỗi bô có diện tích khoảng 250m2 </t>
  </si>
  <si>
    <t>VI</t>
  </si>
  <si>
    <t>Lĩnh vực Văn Hóa</t>
  </si>
  <si>
    <t>Văn Hóa</t>
  </si>
  <si>
    <t>Xây dựng mới nhà văn hóa các ấp theo chủ truong sát nhập các ấp và các hạng mục phụ trợ xã Tân Lợi</t>
  </si>
  <si>
    <t>dự kiến 7 ấp khoảng  300m2/ NVH</t>
  </si>
  <si>
    <t>VII</t>
  </si>
  <si>
    <t>Lĩnh vực Khoa học công nghệ</t>
  </si>
  <si>
    <t>Công tác chuyển đổi số</t>
  </si>
  <si>
    <t>1.1</t>
  </si>
  <si>
    <t>KHCN</t>
  </si>
  <si>
    <t>Về xây dựng chính quyền số: Đầu tư xây dựng Trung tâm điều hành thông minh cấp xã kết nối trung tâm điều hành thông minh cấp tỉnh</t>
  </si>
  <si>
    <t>r</t>
  </si>
  <si>
    <t>1.2</t>
  </si>
  <si>
    <t>Phát triển xã hội: Đầu tư hệ thống thiết bị CNTT tại các nhà văn hóa thôn, ấp phục vụ nhu cầu tổ chức các hoạt động xã hội số trên địa bàn phường.</t>
  </si>
  <si>
    <t>1.3</t>
  </si>
  <si>
    <t>Đầu tư phòng Tin học, thiết bị CNTT tại các trường học trên địa bàn xã đáp ứng trường chuẩn hướng tới xây dựng Trường học thông minh.</t>
  </si>
  <si>
    <t>Nâng cấp, bổ sung cụm loa truyền thanh thông minh đồng bộ, kết nối hệ thống truyền thanh thông minh của tỉnh phục vụ công tác tuyên truyền trên địa bàn xã</t>
  </si>
  <si>
    <t xml:space="preserve"> Mua sắm trang thiết bị các trường, trạm y tế và các ấp trên địa bàn</t>
  </si>
  <si>
    <t>VIII</t>
  </si>
  <si>
    <t>Hoạt động các cơ quan</t>
  </si>
  <si>
    <t>Cơ quan</t>
  </si>
  <si>
    <t>Xây dựng trụ sở làm việc Đảng ủy, HĐND, UBND xã Tân Lợi và các hạng mục phụ trợ</t>
  </si>
  <si>
    <t>3000m2</t>
  </si>
  <si>
    <t>Xây dựng Trụ sở Công an xã Tân Lợi</t>
  </si>
  <si>
    <t>2500m2</t>
  </si>
  <si>
    <t>Xây dựng Trụ sở Ban Chỉ huy Quân sự xã Tân Lợi</t>
  </si>
  <si>
    <t>2300m2</t>
  </si>
  <si>
    <t>Phụ lục 11</t>
  </si>
  <si>
    <t>DANH MỤC DỰ ÁN KẾ HOẠCH ĐẦU TƯ CÔNG TRUNG HẠN VỐN NGUỒN THU HỢP PHÁP CẤP XÃ GIAI ĐOẠN 2026-2030</t>
  </si>
  <si>
    <t>Lũy kế vốn bố trí từ đầu tư án đến hết năm 2025 (số vốn năm 2025 là số ước)</t>
  </si>
  <si>
    <t>Lũy kế giải ngân từ đầu dự án đến năm 2025 (số giải ngân năm 2024, 2025 là số ước)</t>
  </si>
  <si>
    <t>Ngành, lĩnh vực theo Nghị định 85/2025/NĐ-CP</t>
  </si>
  <si>
    <t>Quốc phòng</t>
  </si>
  <si>
    <t>An ninh và trật tự, an toàn xã hội</t>
  </si>
  <si>
    <t>Khoa học, công nghệ</t>
  </si>
  <si>
    <t>Giáo dục, đào tạo và giáo dục nghề nghiệp</t>
  </si>
  <si>
    <t>Y tế, dân số và gia đình</t>
  </si>
  <si>
    <t>Văn hóa, thông tin</t>
  </si>
  <si>
    <t>6.1</t>
  </si>
  <si>
    <t>Thông tin</t>
  </si>
  <si>
    <t>6.2</t>
  </si>
  <si>
    <t>Văn hóa</t>
  </si>
  <si>
    <t>Phát thanh, truyền hình, thông tấn</t>
  </si>
  <si>
    <t>Thể dục, thể thao</t>
  </si>
  <si>
    <t>Bảo vệ môi trường</t>
  </si>
  <si>
    <t>9.1</t>
  </si>
  <si>
    <t>9.2</t>
  </si>
  <si>
    <t>Tài nguyên</t>
  </si>
  <si>
    <t>Các hoạt động kinh tế</t>
  </si>
  <si>
    <t>10.1</t>
  </si>
  <si>
    <t>10.2</t>
  </si>
  <si>
    <t>Cấp nước, thoát nước</t>
  </si>
  <si>
    <t>10.3</t>
  </si>
  <si>
    <t>Công nghệ thông tin</t>
  </si>
  <si>
    <t>10.4</t>
  </si>
  <si>
    <t>Nông nghiệp, lâm nghiệp, diêm nghiệp, thủy lợi và thủy sản</t>
  </si>
  <si>
    <t>10.5</t>
  </si>
  <si>
    <t>Kho tàng</t>
  </si>
  <si>
    <t>10.6</t>
  </si>
  <si>
    <t>10.7</t>
  </si>
  <si>
    <t>Thương mại</t>
  </si>
  <si>
    <t>10.8</t>
  </si>
  <si>
    <t>Du lịch</t>
  </si>
  <si>
    <t>10.9</t>
  </si>
  <si>
    <t>Khu công nghiệp và khu kinh tế</t>
  </si>
  <si>
    <t>10.10</t>
  </si>
  <si>
    <t>Viễn thông</t>
  </si>
  <si>
    <t>10.11</t>
  </si>
  <si>
    <t>Bưu chính</t>
  </si>
  <si>
    <t>10.12</t>
  </si>
  <si>
    <t>Quy hoạch</t>
  </si>
  <si>
    <t>10.13</t>
  </si>
  <si>
    <t>Công trình công cộng tại các đô thị và nông thôn; hạ tầng kỹ thuật khu đô thị</t>
  </si>
  <si>
    <t>10.14</t>
  </si>
  <si>
    <t>Tài chính, ngân hàng</t>
  </si>
  <si>
    <t>10.15</t>
  </si>
  <si>
    <t>Cấp vốn điều lệ cho các ngân hàng chính sách, quỹ tài chính nhà nước ngoài ngân sách; cấp bù lãi suất tín dụng ưu đãi, phí quản lý; ủy thác vốn qua ngân hàng chính sách xã hội theo quy định của cấp có thẩm quyền; hỗ trợ phát triển doanh nghiệp đầu tư vào nông nghiệp, nông thôn; hỗ trợ doanh nghiệp nhỏ và vừa theo quy định của Luật Hỗ trợ doanh nghiệp nhỏ và vừa; hỗ trợ tổ hợp tác, hợp tác xã, liên hiệp hợp tác xã theo quy định của Luật Hợp tác xã.</t>
  </si>
  <si>
    <t>Hoạt động của các cơ quan quản lý nhà nước, đơn vị sự nghiệp công lập, tổ chức chính trị và các tổ chức chính trị - xã hội</t>
  </si>
  <si>
    <t>Các nhiệm vụ, chương trình, dự án khác theo quy định của pháp luật</t>
  </si>
  <si>
    <t>Biểu 4</t>
  </si>
  <si>
    <t>DANH MỤC DỰ ÁN KẾ HOẠCH ĐẦU TƯ CÔNG TRUNG HẠN VỐN NGÂN SÁCH TỈNH 
HỖ TRỢ MỤC TIÊU CHO CẤP XÃ GIAI ĐOẠN 2026-2030</t>
  </si>
  <si>
    <t>Chương trình MTQG phát triển KTXH vùng ĐBDTTS và MN</t>
  </si>
  <si>
    <t>Xây dựng đường ngã ba nhà ông ba Nhu đi khu ĐCĐC ấp pa pếch xã Tân Lợi</t>
  </si>
  <si>
    <t xml:space="preserve">2,5km </t>
  </si>
  <si>
    <t>Nâng cấp, sửa chữa đường GTNT vào khu đất sản xuất 61 hộ Đồng bào dân tộc thiểu số ấp Thạch màng, xã Tân Lợi</t>
  </si>
  <si>
    <t>1,8km</t>
  </si>
  <si>
    <t>Xây dựng đường từ ngã ba dây điện đi Khu Tình thương, ấp Suối Nhung, xã Tân Lợi</t>
  </si>
  <si>
    <t xml:space="preserve">4,8 km </t>
  </si>
  <si>
    <t>2027</t>
  </si>
  <si>
    <t>Xây dựng đường nối tiếp từ đường Ba Phương - Út Linh đến đường QH tuyến số 7, xã Tân Lợi</t>
  </si>
  <si>
    <t>Đầu tư xây dựng chợ vùng đồng bào dân tộc thiểu số và miền nú</t>
  </si>
  <si>
    <t>chợ nông thôn</t>
  </si>
  <si>
    <t>Đầu tư thiết chế văn hóa cho vùng đồng bào dân tộc thiểu số</t>
  </si>
  <si>
    <t>nâng cao đời sống vật chất, tinh thần của ĐBDT</t>
  </si>
  <si>
    <t>Chương trình mục tiêu XD nông thôn mới</t>
  </si>
  <si>
    <t>Xây dựng các tuyến đường BTXM theo cơ chế đặc thù</t>
  </si>
  <si>
    <t>khoảng 50km cho gđ 2026-2030</t>
  </si>
  <si>
    <t>2026-2030</t>
  </si>
  <si>
    <t>Xây dựng một số tiêu chí xã NTM</t>
  </si>
  <si>
    <t>xây dựng các tiêu chỉ đạt chuẩn</t>
  </si>
  <si>
    <t>Bổ sung khi có hướng dẫn tiêu chí mới</t>
  </si>
  <si>
    <t>Chương trình mục tiêu quốc gia giảm nghèo bền vững</t>
  </si>
  <si>
    <t>Biểu 5</t>
  </si>
  <si>
    <t>DANH MỤC DỰ ÁN KẾ HOẠCH ĐẦU TƯ CÔNG 2026 TRÊN ĐỊA BÀN XÃ TÂN LỢI</t>
  </si>
  <si>
    <t xml:space="preserve">Ngành, lĩnh vực
</t>
  </si>
  <si>
    <t>Thời gian thực hiện</t>
  </si>
  <si>
    <t>dự kiến phê duyệt DA</t>
  </si>
  <si>
    <t>2028</t>
  </si>
  <si>
    <t>2029</t>
  </si>
  <si>
    <t>2030</t>
  </si>
  <si>
    <t>TỔNG CỘNG (A+B+C+D)</t>
  </si>
  <si>
    <t>Nguồn ngân sách trung ương hỗ trợ</t>
  </si>
  <si>
    <t>Nguồn ngân sách tỉnh hỗ trợ</t>
  </si>
  <si>
    <t>Nguồn ngân sách đầu tư công xã</t>
  </si>
  <si>
    <t>2.1</t>
  </si>
  <si>
    <t>nâng cấp hệ đường dây, trạm biến áp các khu trung tâm xã Tân Lợi</t>
  </si>
  <si>
    <t>2.2</t>
  </si>
  <si>
    <t>3.1</t>
  </si>
  <si>
    <t>Xây dựng 04 phòng học và 04 phòng chức năng và một số hạng mục phụ trợ Trường MN Tân Hòa</t>
  </si>
  <si>
    <t>3.2</t>
  </si>
  <si>
    <t>3.3</t>
  </si>
  <si>
    <t>3.4</t>
  </si>
  <si>
    <t>4.1</t>
  </si>
  <si>
    <t>4.2</t>
  </si>
  <si>
    <t>5.1</t>
  </si>
  <si>
    <t>Xây dựng bô rác chung chuyển và đường dẫn vào bô rác xã Tân Lợi</t>
  </si>
  <si>
    <t>Nguốn vốn chương trình mục tiêu</t>
  </si>
  <si>
    <t xml:space="preserve">khoảng 10km </t>
  </si>
  <si>
    <t>KẾ HOẠCH ĐẦU TƯ CÔNG TRUNG HẠN VỐN NGÂN SÁCH CẤP XÃ GIAI ĐOẠN 2026-2030</t>
  </si>
  <si>
    <t>Stt</t>
  </si>
  <si>
    <t>Dự kiến giao kế hoạch đầu tư công</t>
  </si>
  <si>
    <t>Năm đầu tiên bố trí vốn thực hiện dự án</t>
  </si>
  <si>
    <t xml:space="preserve">Trong đó dự kiến phân khai </t>
  </si>
  <si>
    <t>NSTT</t>
  </si>
  <si>
    <t>XSKT</t>
  </si>
  <si>
    <t>3=4+5+6</t>
  </si>
  <si>
    <t>LN</t>
  </si>
  <si>
    <t>0,9-1</t>
  </si>
  <si>
    <t>Năm 2026</t>
  </si>
  <si>
    <t>Nâng cấp mở rộng đường đường từ Ngã ba Đồng Bia đi ĐT 753 (đoạn nối tiếp đến cầu Rạch Bé)</t>
  </si>
  <si>
    <t>Chiều dài 3,7km; tăng kết cấu hiện mặt đường nhựa hiện hữu lên 12cm; phần mở rộng dày khoảng 25cm; cấp cao A2</t>
  </si>
  <si>
    <t>Phân kỳ đầu tư</t>
  </si>
  <si>
    <t>Nâng cấp láng nhựa đường từ ĐT 753 (ngã ba Tầm Vông) đi ấp Suối Nhung</t>
  </si>
  <si>
    <t>Chiều dài khoảng 4km; xử lý gia cố đoạt cống sạt lở và cứng hóa đường dẫn 2 đầu cống dài khoảng 500m x 2 bên; cấp cao A2</t>
  </si>
  <si>
    <t>Xây dựng đường từ ngã ba dây điện đi Khu Tình thương, ấp Suối Nhung, xã Tân Lợi (đoạn trung tâm nhà văn hóa ấp)</t>
  </si>
  <si>
    <t>Tổng chiều dài khoảng 4,8km; chỉ tập trung nâng cấp đoạn trung tâp ấp dài khoảng 2km); cấp cao A2</t>
  </si>
  <si>
    <t>Xây dựng đường N1 khu dân cư ấp Thạch Màng</t>
  </si>
  <si>
    <t>mở mới theo QH; Chiều dài khoảng 150m; Hoàn thiện theo Quy hoạch</t>
  </si>
  <si>
    <t>Đường BTXM đặc thù</t>
  </si>
  <si>
    <t>khoảng 5km</t>
  </si>
  <si>
    <t>Lĩnh vực Xây dựng</t>
  </si>
  <si>
    <t>Xây dựng nhà ăn bán trú và hạng mục phụ trợ các Trường TH và THCS: Tân Hòa, Tân Lợi, Tân Hưng</t>
  </si>
  <si>
    <t>Nhà kho, khu chế biến và phòng ăn</t>
  </si>
  <si>
    <t>Xây dựng cổng, hàng rào sân trường và san lấp mặt bằng điểm Trường MN Tân Lợi,  Trường TH và THCS Tân Lợi (điểm Thạch Màng)</t>
  </si>
  <si>
    <t>750m hàng rào xây gạch; khoảng 2000m2 sân trường</t>
  </si>
  <si>
    <t>Lĩnh vực khác</t>
  </si>
  <si>
    <t>dự kiến khảng 2 bô rác</t>
  </si>
  <si>
    <t>Năm 2027</t>
  </si>
  <si>
    <t>Nâng cấp mở rộng đường đường từ Ngã ba Đồng Bia đi ĐT 753 (đoạn còn lại từ cầu Rạch Bé - ĐT 753)</t>
  </si>
  <si>
    <t>Chiều dài 2,4km; tăng kết cấu hiện mặt đường nhựa hiện hữu lên 12cm; phần mở rộng dày khoảng 25cm; cấp cao A2</t>
  </si>
  <si>
    <t>nhựa cũ lên 1 lớp 12cm; LN 3 lớp</t>
  </si>
  <si>
    <t>Chiều dài 2,2km; mặt đường rộng khoảng 5,5m; Lcấp cao A2</t>
  </si>
  <si>
    <t>lớp móng đá 25cm; LN 3 lớp</t>
  </si>
  <si>
    <t>nhựa cũ lên 1 lớp 12cm; BTN 5cm</t>
  </si>
  <si>
    <t>khoảng 4km</t>
  </si>
  <si>
    <t>mớ mới lớp CP 32cm</t>
  </si>
  <si>
    <t>Xây dựng 10 phòng học và các hạng mục phụ trợ trường TH và THCS Tân Lợi</t>
  </si>
  <si>
    <t>Xây dựng 06 phòng chức năng và nhà thi đấu đa năng,  Trường TH và THCS Tân Hưng</t>
  </si>
  <si>
    <t>Xây dựng trụ sở làm việc trung tâm và đơn vị sự nghiệp cấp xã</t>
  </si>
  <si>
    <t>xem xét</t>
  </si>
  <si>
    <t>Năm 2028</t>
  </si>
  <si>
    <t>Xây dựng 06 phòng học Trường MN Tân Lợi và các hạng mục phụ trợ, ấp Thạch Màng</t>
  </si>
  <si>
    <t>phân kỳ đầu tư</t>
  </si>
  <si>
    <t>Năm 2029</t>
  </si>
  <si>
    <t xml:space="preserve">mở mới theo QH chiều khoảng 2,7km; cấp thấp B1 </t>
  </si>
  <si>
    <t>Chiều dài khoảng 2,5km; mặt đường 5,5m; cấp cao A2</t>
  </si>
  <si>
    <t>Chiều dài khoảng 1,7km; mặt đường 5,5m; cấp cao A2</t>
  </si>
  <si>
    <t>Xây dựng 10 phòng học TrườngTH và THCS Tân Lợi và các hạng mục phụ trợ, ấp Thạch Màng</t>
  </si>
  <si>
    <t>Năm 2030</t>
  </si>
  <si>
    <t>khoảng 3km</t>
  </si>
  <si>
    <t>Xây dựng mới nhà văn hóa các ấp sau sáp nhập và các hạng mục phụ trợ xã Tân Lợi</t>
  </si>
  <si>
    <t>TỔNG CỘNG (A+B+C+D+E)</t>
  </si>
  <si>
    <t>Cdai</t>
  </si>
  <si>
    <t>Ktoan</t>
  </si>
  <si>
    <t>Nâng cấp mở rộng đường từ ĐT 753 đi Trung tâm xã Tân Lợi (đoạn từ ĐT 753 đến cầu Rạch Bé)</t>
  </si>
  <si>
    <t>Đường láng nhựa hiện hữu rộng 3,5m; Chiều dài khoảng 2,4km; mặt đường rộng 7m; tăng kết cấu hiện mặt đường nhựa hiện hữu lên 12cm; phần mở rộng dày khoảng 32cm; cấp cao A1</t>
  </si>
  <si>
    <t>Phân kỳ đầu tư Gđ1; đã có trong NQ15 HĐND xã</t>
  </si>
  <si>
    <t>Nâng cấp mở rộng đường đường từ ĐT 753 đi trung tâm ấp Suối Nhung, xã Tân Lợi (đoạn từ ĐT 753 đến Kho hủy đạn Tân Hưng)</t>
  </si>
  <si>
    <t>Đường láng nhựa hiện hữu rộng 3,5m; Chiều dài khoảng 2km; mặt đường rộng 7m; tăng kết cấu hiện mặt đường nhựa hiện hữu lên 12cm; phần mở rộng dày khoảng 32cm; cấp cao A2</t>
  </si>
  <si>
    <t xml:space="preserve">BS mới; </t>
  </si>
  <si>
    <t>Nâng cấp láng nhựa đường từ ĐT 753 đi ấp Suối Nhung  (ngã ba Tầm Vông), giai đoạn 1</t>
  </si>
  <si>
    <t>Đường CPSĐ hiện hữu; Chiều dài tuyến khoảng 4km; giai đoạn này chủ yếu xử lý gia cố đoạt cống sạt lở nghiêm trọng và cứng hóa đường dẫn 2 đầu cống dài khoảng 500m x 2 bên; cấp cao A2</t>
  </si>
  <si>
    <t>Đường CPSĐ hiện hữu; Tổng chiều dài khoảng 4,8km; chỉ tập trung nâng cấp đoạn trung tâp ấp dài khoảng 2km; cấp cao A2</t>
  </si>
  <si>
    <t>Mở mới theo QH; Chiều dài khoảng 150m; Hoàn thiện theo Quy hoạch chi tiết được duyệt</t>
  </si>
  <si>
    <t>Phục vụ Trường MN Ban tỉnh đầu tư 04P chưa có đường vào</t>
  </si>
  <si>
    <t>Tách ra đầu tư riêng; đã có trong NQ15 HĐND xã</t>
  </si>
  <si>
    <t>đã có trong NQ15 HĐND xã</t>
  </si>
  <si>
    <t>Phục vụ Trường MN Ban tỉnh đầu tư 04P chưa có đường vào; đại hình trũng thấp</t>
  </si>
  <si>
    <t>dự kiến khoảng 2 bô rác</t>
  </si>
  <si>
    <t>đã có trong NQ15 HĐND xã;</t>
  </si>
  <si>
    <t>Nâng cấp mở rộng đường từ ĐT 753 đi Trung tâm xã Tân Lợi (đoạn từ cầu Rạch Bé đến ngã ba Ba Phương)</t>
  </si>
  <si>
    <t>Đường láng nhựa hiện hữu rộng 3,5m; Chiều dài khoảng 3,7km; mặt đường rộng 7m; tăng kết cấu hiện mặt đường nhựa hiện hữu lên 12cm; phần mở rộng dày khoảng 32cm; cấp cao A1</t>
  </si>
  <si>
    <t>Phân kỳ đầu tư Gđ2; đã có trong NQ15 HĐND xã</t>
  </si>
  <si>
    <t>Đường CPSĐ hiện hữu; Chiều dài khoảng 2,2km; mặt đường rộng khoảng 5,5m; cấp cao A2</t>
  </si>
  <si>
    <t>đã có trong NQ15 HĐND xã; giảm tổng mức do giảm bề rộng mặt đường</t>
  </si>
  <si>
    <t>Xây dựng đường từ Đồi trọc ấp 5 đến đường ĐT 753 xã Tân Lợi</t>
  </si>
  <si>
    <t>Đường CPSĐ hiện hữu; Chiều dài khoảng 4km; mặt đường rộng khoảng 5,5m; cấp cao A2</t>
  </si>
  <si>
    <t>BS xem xét</t>
  </si>
  <si>
    <t>Đầu tư xây dựng chợ vùng đồng bào dân tộc thiểu số và miền núi</t>
  </si>
  <si>
    <t>Nâng cấp láng nhựa đường từ ĐT 753 đi ấp Suối Nhung  (ngã ba Tầm Vông), giai đoạn 2</t>
  </si>
  <si>
    <t>Đường CPSĐ hiện hữu; Chiều dài khoảng 3km; mặt đường rộng khoảng 5,5m; cấp cao A2</t>
  </si>
  <si>
    <t>Xây dựng đường từ ngã ba dây điện đi Khu Tình thương, ấp Suối Nhung, xã Tân Lợi (đoạn còn lại)</t>
  </si>
  <si>
    <t>Đường CPSĐ hiện hữu; Chiều dài khoảng 2,8km; mặt đường rộng khoảng 5,5m; cấp cao A2</t>
  </si>
  <si>
    <t xml:space="preserve">Mở mới theo QH 26m, tổng chiều dài khoảng 3,4km (trong đó, đoạn mở mới dài 2,2km; đoạn hiện hữu dài 1,2km), cấp cao A2 kết hợp với cấp thấp B1 (CPSĐ đoạn mở mới và láng nhựa đoạn đường hiện hữu) </t>
  </si>
  <si>
    <t>đã có trong NQ15 HĐND xã; giảm tổng mức do giảm quy mô</t>
  </si>
  <si>
    <t>đã có trong NQ15 HĐND xã; giảm do đã bố trí XD 04p của Ban tỉnh</t>
  </si>
  <si>
    <t>Phân kỳ đầu tư; đã có trong NQ15 HĐND xã</t>
  </si>
  <si>
    <t>Nâng cấp đường từ ĐT 753 đi Trung tâm xã Tân Lợi (đoạn từ ngã ba Ba Phương đi ngã ba Đồng Bia)</t>
  </si>
  <si>
    <t>Đường láng nhựa hiện hữu rộng 7m; Chiều dài khoảng 3,0km; tăng kết cấu hiện mặt đường nhựa hiện hữu lên 15cm; cấp cao A1</t>
  </si>
  <si>
    <t>Phân kỳ đầu tư Gđ3; đã có trong NQ15 HĐND xã</t>
  </si>
  <si>
    <t>Xây dựng đường ngã ba nhà ông ba Nhu đi khu ĐCĐC ấp Pa Pếch xã Tân Lợi</t>
  </si>
  <si>
    <t>Đường CPSĐ hiện hữu; Chiều dài khoảng 2,5km; mặt đường rộng 5,5m; cấp cao A2</t>
  </si>
  <si>
    <t>dài 18m; BT DUL</t>
  </si>
  <si>
    <t>Đường láng nhựa hiện hữu rộng 3,5m; Chiều dài khoảng 2,3km; mặt đường rộng 7m; tăng kết cấu hiện mặt đường nhựa hiện hữu lên 12cm; phần mở rộng dày khoảng 32cm; cấp cao A1</t>
  </si>
  <si>
    <t>Đường mòn; Chiều dài khoảng 2,0km; mặt đường rộng 3,5m; cấp cao A2; kết nối 2 đoạn nhựa</t>
  </si>
  <si>
    <t>E</t>
  </si>
  <si>
    <t>Nâng cấp mở rộng đường đường từ ĐT 753 đi trung tâm ấp Suối Nhung, xã Tân Lợi (đoạn từ  Kho hủy đạn Tân Hưng đến ngã ba Năm Tín)</t>
  </si>
  <si>
    <t>Đường láng nhựa hiện hữu rộng 3,5m; Chiều dài khoảng 3km; mặt đường rộng 7m; tăng kết cấu hiện mặt đường nhựa hiện hữu lên 12cm; phần mở rộng dày khoảng 32cm; cấp cao A2</t>
  </si>
  <si>
    <t xml:space="preserve">Xây dựng đường từ ngã ba NVH ấp Suối Da đi ĐT 753 </t>
  </si>
  <si>
    <t>Chiều dài khoảng 5km; mặt đường 3,5m; cấp cao A2</t>
  </si>
  <si>
    <t>Đường mòn; Chiều dài khoảng 1,8km; mặt đường rộng 3,5m; cấp cao A2</t>
  </si>
  <si>
    <t>đã có trong NQ15 HĐND xã; giảm tổng mức do giảm các HM phụ trợ chưa cần thiết</t>
  </si>
  <si>
    <t>ĐVT: Triệu đồng</t>
  </si>
  <si>
    <t>Biểu số 01</t>
  </si>
  <si>
    <t>Nguồn tập trung</t>
  </si>
  <si>
    <t>Nguồn thu tiền sử dụng đất</t>
  </si>
  <si>
    <t>KẾ HOẠCH ĐẦU TƯ CÔNG TRUNG HẠN GIAI ĐOẠN 2026-2030</t>
  </si>
  <si>
    <t>Tổng mức đầu tư</t>
  </si>
  <si>
    <t>Kế hoạch đầu tư công trung hạn 2026-2030</t>
  </si>
  <si>
    <t>Nguồn vốn huy động khác</t>
  </si>
  <si>
    <t>6=7+8+9</t>
  </si>
  <si>
    <t>TỔNG CỘNG (I+II+III)</t>
  </si>
  <si>
    <t>Bố trí vốn theo cơ cấu</t>
  </si>
  <si>
    <t>Bố trí vốn tất topan1 các công trình đã quyết toán</t>
  </si>
  <si>
    <t>Bố trí vốn chuản bơ đấu tư</t>
  </si>
  <si>
    <t>Danh mục đầu tư mới</t>
  </si>
  <si>
    <t>Mở rộng đường từ Trung tâm xã đi đường ĐT 753 ấp Thạch Màng, xã Tân Lợi</t>
  </si>
  <si>
    <t>Giải phóng mặt bằng mở rộng toàn tuyến theo quy hoạch 32m; kết cấu mở rộng cấp thấp B1 (cấp phối sỏi đỏ)</t>
  </si>
  <si>
    <t>2026-2028</t>
  </si>
  <si>
    <t xml:space="preserve">Xây dựng đường từ ngã ba dây điện đi Khu Tình thương, ấp Suối Nhung, xã Tân Lợi </t>
  </si>
  <si>
    <t xml:space="preserve">Đường CPSĐ hiện hữu; Tổng chiều dài khoảng 6,0km, GPMB mở rộng theo quy hoạch 26m; trong đó chỉ tập trung nâng cấp đoạn trung tâp ấp dài khoảng 2km kết cấu mặt đường cấp cao A2; đoạn còn lại bằng cấp phối sỏ đỏ </t>
  </si>
  <si>
    <t xml:space="preserve">Xây dựng đường Nhà văn hóa ấp Suối Nhung kết nối đường Ba Thu - Ba Nhu, xã Tân Lợi </t>
  </si>
  <si>
    <t>Đường CPSĐ hiện hữu; chiều dài khoảng 1,1km, kết cấu mặt đườngcấp cao A2</t>
  </si>
  <si>
    <t>Xây dựng đường từ ngã ba nhà Năm Tín đi Nam Đô, xã Tân Lợi</t>
  </si>
  <si>
    <t>2027-2029</t>
  </si>
  <si>
    <t>Xây dựng đường từ Trung tâm xã đi đường ĐT 753 ấpThạch Màng, xã Tân Lợi</t>
  </si>
  <si>
    <t>Đầu tư toàn tuyến dài 9,0km; mặt đường rộng 7m; cấp cao A1</t>
  </si>
  <si>
    <t>2028-2029</t>
  </si>
  <si>
    <t>Đường CPSĐ hiện hữu; Chiều dài khoảng 2,5km; mặt đường rộng 3,5m; cấp cao A2</t>
  </si>
  <si>
    <t>Nâng cấp đường từ ĐT 753 đi khu Tình thương, ấp Suối Nhung, xã Tân Lợi</t>
  </si>
  <si>
    <t>Chiều dài đoạn còn lại khoảng 3,2km; kết cấu mặt đường cấp cao A2 và hoàn thiện một số vị trí cống, mương,.. Sau khi GPMB theo QH</t>
  </si>
  <si>
    <t>Lĩnh vực Xây dựng và một số lĩnh vực khác</t>
  </si>
  <si>
    <t>2026-2027</t>
  </si>
  <si>
    <t>Xây dựng bô rác trung chuyển và trang thiết bị phục vụ thu gom rác xã Tân Lợi</t>
  </si>
  <si>
    <t>dự kiến khoảng 4 bô rác diện tích 250m2/bô</t>
  </si>
  <si>
    <t>Phòng học diện tích khoảng 705m2; nhà thi đầu đa năng diện tích khoảng 540m2</t>
  </si>
  <si>
    <t>2027-2028</t>
  </si>
  <si>
    <t>Phục vụ Trường MN Ban tỉnh đầu tư 04P chưa có đường vào; địa hình trũng thấp</t>
  </si>
  <si>
    <t>Phòng học diện tích khoảng 650m2 sàn xây dựng</t>
  </si>
  <si>
    <t>Diện tích khoảng 3.000m2 sàn xây dựng</t>
  </si>
  <si>
    <t>Dự phòng</t>
  </si>
  <si>
    <t>Quyết định PD CTĐT/phê duyệt dự án</t>
  </si>
  <si>
    <t>Nguồn thu tiền SDĐ</t>
  </si>
  <si>
    <t>Nguồn XSKT</t>
  </si>
  <si>
    <t>Chênh lệch</t>
  </si>
  <si>
    <t>Nguồn vốn</t>
  </si>
  <si>
    <t>5=4-3</t>
  </si>
  <si>
    <t>TỔNG CỘNG (1+2+3)</t>
  </si>
  <si>
    <t xml:space="preserve">Nguồn thu tiền sử dụng đất </t>
  </si>
  <si>
    <t>Điều chỉnh kế hoạch đầu tư công năm 2026</t>
  </si>
  <si>
    <t>Kế hoạch đầu tư công năm 2026</t>
  </si>
  <si>
    <t>Tăng thu tiền sử dụng đất</t>
  </si>
  <si>
    <t>Biểu số 2</t>
  </si>
  <si>
    <t>Xây dựng đường N1, N2, N3 thuộc khu TTHC Tân Hòa (cũ), xã Tân Lợi</t>
  </si>
  <si>
    <t>Bổ sung Kế hoạch năm 2026</t>
  </si>
  <si>
    <t>Kế hoạch đầu tư công năm 2026 đã được giao</t>
  </si>
  <si>
    <t>Bổ sung kế hoạch đầu tư công năm 2026</t>
  </si>
  <si>
    <t>TỔNG  (I+II)</t>
  </si>
  <si>
    <t xml:space="preserve"> NGUỒN BỔ SUNG KẾ HOẠCH VỐN ĐẦU TƯ CÔNG NĂM 2026</t>
  </si>
  <si>
    <t>BỔ SUNG DANH MỤC KẾ HOẠCH ĐẦU TƯ CÔNG NĂM 2026</t>
  </si>
  <si>
    <t>(Kèm theo Nghị quyết số       /TTr-HĐND ngày      tháng     năm 2026 của HĐND xã)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</si>
</sst>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_-* #,##0.00\ _V_N_D_-;\-* #,##0.00\ _V_N_D_-;_-* &quot;-&quot;??\ _V_N_D_-;_-@_-"/>
    <numFmt numFmtId="165" formatCode="0.00_)"/>
    <numFmt numFmtId="166" formatCode="_(* #,##0.0000_);_(* \(#,##0.0000\);_(* &quot;-&quot;_);_(@_)"/>
    <numFmt numFmtId="167" formatCode="_(* #,##0_);_(* \(#,##0\);_(* &quot;-&quot;??_);_(@_)"/>
    <numFmt numFmtId="168" formatCode="0.000"/>
  </numFmts>
  <fonts count="93">
    <font>
      <sz val="11"/>
      <color theme="1"/>
      <name val="Calibri"/>
      <charset val="134"/>
      <scheme val="minor"/>
    </font>
    <font>
      <sz val="12"/>
      <color rgb="FF0000CC"/>
      <name val="Times New Roman"/>
      <charset val="134"/>
    </font>
    <font>
      <b/>
      <sz val="12"/>
      <color rgb="FF0000CC"/>
      <name val="Times New Roman"/>
      <charset val="134"/>
    </font>
    <font>
      <sz val="12"/>
      <name val="Times New Roman"/>
      <charset val="134"/>
    </font>
    <font>
      <sz val="9"/>
      <name val="Times New Roman"/>
      <charset val="134"/>
    </font>
    <font>
      <sz val="12"/>
      <color theme="2" tint="-0.249977111117893"/>
      <name val="Times New Roman"/>
      <charset val="134"/>
    </font>
    <font>
      <b/>
      <sz val="14"/>
      <name val="Times New Roman"/>
      <charset val="134"/>
    </font>
    <font>
      <b/>
      <sz val="14"/>
      <name val="Calibri"/>
      <charset val="134"/>
      <scheme val="minor"/>
    </font>
    <font>
      <i/>
      <sz val="14"/>
      <name val="Times New Roman"/>
      <charset val="134"/>
    </font>
    <font>
      <i/>
      <sz val="12"/>
      <name val="Times New Roman"/>
      <charset val="134"/>
    </font>
    <font>
      <i/>
      <sz val="11"/>
      <name val="Calibri"/>
      <charset val="134"/>
      <scheme val="minor"/>
    </font>
    <font>
      <b/>
      <sz val="12"/>
      <name val="Times New Roman"/>
      <charset val="134"/>
    </font>
    <font>
      <i/>
      <sz val="10"/>
      <name val="Times New Roman"/>
      <charset val="134"/>
    </font>
    <font>
      <b/>
      <sz val="9"/>
      <name val="Times New Roman"/>
      <charset val="134"/>
    </font>
    <font>
      <sz val="14"/>
      <name val="Calibri"/>
      <charset val="134"/>
      <scheme val="minor"/>
    </font>
    <font>
      <sz val="11"/>
      <name val="Calibri"/>
      <charset val="134"/>
      <scheme val="minor"/>
    </font>
    <font>
      <sz val="8"/>
      <name val="Times New Roman"/>
      <charset val="134"/>
    </font>
    <font>
      <sz val="10"/>
      <name val="Times New Roman"/>
      <charset val="134"/>
    </font>
    <font>
      <i/>
      <sz val="11"/>
      <name val="Times New Roman"/>
      <charset val="134"/>
    </font>
    <font>
      <b/>
      <sz val="10"/>
      <name val="Times New Roman"/>
      <charset val="134"/>
    </font>
    <font>
      <sz val="12"/>
      <color rgb="FFFF0000"/>
      <name val="Times New Roman"/>
      <charset val="134"/>
    </font>
    <font>
      <b/>
      <sz val="13"/>
      <name val="Times New Roman"/>
      <charset val="134"/>
    </font>
    <font>
      <b/>
      <sz val="11"/>
      <name val="Times New Roman"/>
      <charset val="134"/>
    </font>
    <font>
      <i/>
      <sz val="13"/>
      <name val="Times New Roman"/>
      <charset val="134"/>
    </font>
    <font>
      <b/>
      <i/>
      <sz val="13"/>
      <name val="Times New Roman"/>
      <charset val="134"/>
    </font>
    <font>
      <sz val="13"/>
      <name val="Times New Roman"/>
      <charset val="134"/>
    </font>
    <font>
      <b/>
      <sz val="18"/>
      <name val="Times New Roman"/>
      <charset val="134"/>
    </font>
    <font>
      <b/>
      <sz val="18"/>
      <name val="Calibri"/>
      <charset val="134"/>
      <scheme val="minor"/>
    </font>
    <font>
      <b/>
      <sz val="14"/>
      <color rgb="FF0000CC"/>
      <name val="Times New Roman"/>
      <charset val="134"/>
    </font>
    <font>
      <b/>
      <sz val="14"/>
      <color rgb="FF0000CC"/>
      <name val="Calibri"/>
      <charset val="134"/>
      <scheme val="minor"/>
    </font>
    <font>
      <i/>
      <sz val="12"/>
      <color rgb="FF0000CC"/>
      <name val="Times New Roman"/>
      <charset val="134"/>
    </font>
    <font>
      <i/>
      <sz val="11"/>
      <color rgb="FF0000CC"/>
      <name val="Calibri"/>
      <charset val="134"/>
      <scheme val="minor"/>
    </font>
    <font>
      <i/>
      <sz val="10"/>
      <color rgb="FF0000CC"/>
      <name val="Times New Roman"/>
      <charset val="134"/>
    </font>
    <font>
      <b/>
      <sz val="9"/>
      <color rgb="FF0000CC"/>
      <name val="Times New Roman"/>
      <charset val="134"/>
    </font>
    <font>
      <b/>
      <sz val="10"/>
      <color rgb="FF0000CC"/>
      <name val="Times New Roman"/>
      <charset val="134"/>
    </font>
    <font>
      <sz val="9"/>
      <color rgb="FF0000CC"/>
      <name val="Times New Roman"/>
      <charset val="134"/>
    </font>
    <font>
      <sz val="10"/>
      <color rgb="FF0000CC"/>
      <name val="Times New Roman"/>
      <charset val="134"/>
    </font>
    <font>
      <sz val="11"/>
      <color rgb="FF0000CC"/>
      <name val="Times New Roman"/>
      <charset val="134"/>
    </font>
    <font>
      <sz val="11"/>
      <name val="Times New Roman"/>
      <charset val="134"/>
    </font>
    <font>
      <sz val="9"/>
      <color rgb="FFFF0000"/>
      <name val="Times New Roman"/>
      <charset val="134"/>
    </font>
    <font>
      <sz val="11"/>
      <color rgb="FFFF0000"/>
      <name val="Times New Roman"/>
      <charset val="134"/>
    </font>
    <font>
      <sz val="14"/>
      <color rgb="FF0000CC"/>
      <name val="Calibri"/>
      <charset val="134"/>
      <scheme val="minor"/>
    </font>
    <font>
      <sz val="11"/>
      <color rgb="FF0000CC"/>
      <name val="Calibri"/>
      <charset val="134"/>
      <scheme val="minor"/>
    </font>
    <font>
      <sz val="12"/>
      <name val="Times New Roman"/>
      <charset val="163"/>
    </font>
    <font>
      <sz val="10"/>
      <color rgb="FFFF0000"/>
      <name val="Times New Roman"/>
      <charset val="134"/>
    </font>
    <font>
      <b/>
      <sz val="16"/>
      <color theme="1"/>
      <name val="Times New Roman"/>
      <charset val="134"/>
    </font>
    <font>
      <sz val="14"/>
      <color theme="1"/>
      <name val="Times New Roman"/>
      <charset val="134"/>
    </font>
    <font>
      <sz val="12"/>
      <color theme="1"/>
      <name val="Times New Roman"/>
      <charset val="134"/>
    </font>
    <font>
      <b/>
      <sz val="12"/>
      <color theme="1"/>
      <name val="Times New Roman"/>
      <charset val="134"/>
    </font>
    <font>
      <b/>
      <sz val="18"/>
      <color theme="1"/>
      <name val="Times New Roman"/>
      <charset val="134"/>
    </font>
    <font>
      <b/>
      <sz val="18"/>
      <color theme="1"/>
      <name val="Calibri"/>
      <charset val="134"/>
      <scheme val="minor"/>
    </font>
    <font>
      <i/>
      <sz val="12"/>
      <color theme="1"/>
      <name val="Times New Roman"/>
      <charset val="134"/>
    </font>
    <font>
      <i/>
      <sz val="11"/>
      <color theme="1"/>
      <name val="Calibri"/>
      <charset val="134"/>
      <scheme val="minor"/>
    </font>
    <font>
      <b/>
      <sz val="12"/>
      <color rgb="FFFF0000"/>
      <name val="Times New Roman"/>
      <charset val="134"/>
    </font>
    <font>
      <sz val="11"/>
      <color theme="1"/>
      <name val="Times New Roman"/>
      <charset val="134"/>
    </font>
    <font>
      <b/>
      <sz val="11"/>
      <color theme="1"/>
      <name val="Times New Roman"/>
      <charset val="134"/>
    </font>
    <font>
      <sz val="10"/>
      <color theme="1"/>
      <name val="Times New Roman"/>
      <charset val="134"/>
    </font>
    <font>
      <i/>
      <sz val="12"/>
      <color rgb="FFC00000"/>
      <name val="Times New Roman"/>
      <charset val="134"/>
    </font>
    <font>
      <i/>
      <sz val="10"/>
      <color rgb="FFC00000"/>
      <name val="Times New Roman"/>
      <charset val="134"/>
    </font>
    <font>
      <sz val="14"/>
      <color indexed="9"/>
      <name val="Times New Roman"/>
      <charset val="134"/>
    </font>
    <font>
      <sz val="14"/>
      <name val="Times New Roman"/>
      <charset val="134"/>
    </font>
    <font>
      <b/>
      <i/>
      <sz val="14"/>
      <name val="Times New Roman"/>
      <charset val="134"/>
    </font>
    <font>
      <b/>
      <sz val="16"/>
      <name val="Times New Roman"/>
      <charset val="134"/>
    </font>
    <font>
      <i/>
      <sz val="16"/>
      <name val="Times New Roman"/>
      <charset val="134"/>
    </font>
    <font>
      <b/>
      <sz val="10"/>
      <color theme="1"/>
      <name val="Times New Roman"/>
      <charset val="134"/>
    </font>
    <font>
      <i/>
      <sz val="10"/>
      <color theme="1"/>
      <name val="Times New Roman"/>
      <charset val="134"/>
    </font>
    <font>
      <sz val="9"/>
      <color theme="1"/>
      <name val="Times New Roman"/>
      <charset val="134"/>
    </font>
    <font>
      <sz val="11"/>
      <color theme="1"/>
      <name val="Calibri"/>
      <charset val="134"/>
      <scheme val="minor"/>
    </font>
    <font>
      <sz val="10"/>
      <name val="Arial"/>
      <charset val="134"/>
    </font>
    <font>
      <sz val="11"/>
      <color indexed="8"/>
      <name val="Calibri"/>
      <charset val="134"/>
    </font>
    <font>
      <u/>
      <sz val="11"/>
      <color theme="10"/>
      <name val="Calibri"/>
      <charset val="134"/>
      <scheme val="minor"/>
    </font>
    <font>
      <b/>
      <i/>
      <sz val="16"/>
      <name val="Arial"/>
      <charset val="134"/>
    </font>
    <font>
      <i/>
      <sz val="12"/>
      <color rgb="FFFF0000"/>
      <name val="Times New Roman"/>
      <charset val="134"/>
    </font>
    <font>
      <b/>
      <sz val="12"/>
      <name val="Times New Roman"/>
      <family val="1"/>
    </font>
    <font>
      <i/>
      <sz val="12"/>
      <name val="Times New Roman"/>
      <family val="1"/>
    </font>
    <font>
      <sz val="12"/>
      <name val="Times New Roman"/>
      <family val="1"/>
    </font>
    <font>
      <b/>
      <sz val="12"/>
      <color rgb="FF0000CC"/>
      <name val="Times New Roman"/>
      <family val="1"/>
    </font>
    <font>
      <i/>
      <sz val="10"/>
      <name val="Times New Roman"/>
      <family val="1"/>
    </font>
    <font>
      <sz val="12"/>
      <name val="Times New Roman"/>
      <family val="1"/>
      <charset val="163"/>
    </font>
    <font>
      <b/>
      <sz val="12"/>
      <name val="Times New Roman"/>
      <family val="1"/>
      <charset val="163"/>
    </font>
    <font>
      <sz val="10"/>
      <name val="Arial"/>
      <family val="2"/>
    </font>
    <font>
      <b/>
      <sz val="14"/>
      <name val="Times New Roman"/>
      <family val="1"/>
      <charset val="163"/>
    </font>
    <font>
      <i/>
      <sz val="13"/>
      <name val="Times New Roman"/>
      <family val="1"/>
    </font>
    <font>
      <i/>
      <sz val="12"/>
      <name val="Times New Roman"/>
      <family val="1"/>
      <charset val="163"/>
    </font>
    <font>
      <b/>
      <sz val="13"/>
      <name val="Times New Roman"/>
      <family val="1"/>
      <charset val="163"/>
    </font>
    <font>
      <sz val="13"/>
      <name val="Times New Roman"/>
      <family val="1"/>
      <charset val="163"/>
    </font>
    <font>
      <sz val="10"/>
      <name val="Times New Roman"/>
      <family val="1"/>
    </font>
    <font>
      <sz val="13"/>
      <name val="Times New Roman"/>
      <family val="1"/>
    </font>
    <font>
      <b/>
      <sz val="14"/>
      <name val="Times New Roman"/>
      <family val="1"/>
    </font>
    <font>
      <i/>
      <sz val="14"/>
      <name val="Times New Roman"/>
      <family val="1"/>
    </font>
    <font>
      <sz val="13"/>
      <color rgb="FF0000CC"/>
      <name val="Times New Roman"/>
      <family val="1"/>
    </font>
    <font>
      <b/>
      <sz val="13"/>
      <name val="Times New Roman"/>
      <family val="1"/>
    </font>
    <font>
      <b/>
      <sz val="13"/>
      <color rgb="FF0000CC"/>
      <name val="Times New Roman"/>
      <family val="1"/>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59999389629810485"/>
        <bgColor indexed="64"/>
      </patternFill>
    </fill>
    <fill>
      <patternFill patternType="solid">
        <fgColor theme="5" tint="0.79995117038483843"/>
        <bgColor indexed="64"/>
      </patternFill>
    </fill>
    <fill>
      <patternFill patternType="solid">
        <fgColor rgb="FFFFFF00"/>
        <bgColor indexed="64"/>
      </patternFill>
    </fill>
    <fill>
      <patternFill patternType="solid">
        <fgColor theme="4" tint="0.79995117038483843"/>
        <bgColor indexed="64"/>
      </patternFill>
    </fill>
    <fill>
      <patternFill patternType="solid">
        <fgColor theme="7" tint="0.59999389629810485"/>
        <bgColor indexed="64"/>
      </patternFill>
    </fill>
    <fill>
      <patternFill patternType="solid">
        <fgColor theme="5" tint="0.59999389629810485"/>
        <bgColor indexed="64"/>
      </patternFill>
    </fill>
  </fills>
  <borders count="3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top/>
      <bottom/>
      <diagonal/>
    </border>
    <border>
      <left style="thin">
        <color auto="1"/>
      </left>
      <right style="thin">
        <color auto="1"/>
      </right>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rgb="FF000000"/>
      </left>
      <right/>
      <top/>
      <bottom style="thin">
        <color auto="1"/>
      </bottom>
      <diagonal/>
    </border>
    <border>
      <left style="thin">
        <color rgb="FF000000"/>
      </left>
      <right style="thin">
        <color rgb="FF000000"/>
      </right>
      <top style="thin">
        <color rgb="FF000000"/>
      </top>
      <bottom style="thin">
        <color auto="1"/>
      </bottom>
      <diagonal/>
    </border>
    <border>
      <left/>
      <right style="thin">
        <color rgb="FF000000"/>
      </right>
      <top/>
      <bottom style="thin">
        <color auto="1"/>
      </bottom>
      <diagonal/>
    </border>
    <border>
      <left/>
      <right/>
      <top style="thin">
        <color rgb="FF000000"/>
      </top>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auto="1"/>
      </top>
      <bottom style="thin">
        <color indexed="64"/>
      </bottom>
      <diagonal/>
    </border>
    <border>
      <left/>
      <right style="thin">
        <color rgb="FF000000"/>
      </right>
      <top style="thin">
        <color auto="1"/>
      </top>
      <bottom style="thin">
        <color indexed="64"/>
      </bottom>
      <diagonal/>
    </border>
  </borders>
  <cellStyleXfs count="19">
    <xf numFmtId="0" fontId="0" fillId="0" borderId="0"/>
    <xf numFmtId="43" fontId="67" fillId="0" borderId="0" applyFont="0" applyFill="0" applyBorder="0" applyAlignment="0" applyProtection="0"/>
    <xf numFmtId="9" fontId="67" fillId="0" borderId="0" applyFont="0" applyFill="0" applyBorder="0" applyAlignment="0" applyProtection="0"/>
    <xf numFmtId="43" fontId="67" fillId="0" borderId="0"/>
    <xf numFmtId="164" fontId="68" fillId="0" borderId="0" applyFont="0" applyFill="0" applyBorder="0" applyAlignment="0" applyProtection="0"/>
    <xf numFmtId="43" fontId="67" fillId="0" borderId="0"/>
    <xf numFmtId="0" fontId="69" fillId="0" borderId="0"/>
    <xf numFmtId="0" fontId="69" fillId="0" borderId="0"/>
    <xf numFmtId="0" fontId="70" fillId="0" borderId="0"/>
    <xf numFmtId="165" fontId="71" fillId="0" borderId="0"/>
    <xf numFmtId="0" fontId="68" fillId="0" borderId="0"/>
    <xf numFmtId="0" fontId="68" fillId="0" borderId="0" applyAlignment="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cellStyleXfs>
  <cellXfs count="634">
    <xf numFmtId="0" fontId="0" fillId="0" borderId="0" xfId="0"/>
    <xf numFmtId="0" fontId="1" fillId="0" borderId="0" xfId="0" applyFont="1"/>
    <xf numFmtId="0" fontId="1" fillId="2" borderId="0" xfId="0" applyFont="1" applyFill="1"/>
    <xf numFmtId="0" fontId="3" fillId="0" borderId="0" xfId="0" applyFont="1" applyAlignment="1">
      <alignment horizontal="center"/>
    </xf>
    <xf numFmtId="0" fontId="3" fillId="2" borderId="0" xfId="0" applyFont="1" applyFill="1"/>
    <xf numFmtId="0" fontId="4" fillId="0" borderId="0" xfId="0" applyFont="1"/>
    <xf numFmtId="0" fontId="4" fillId="0" borderId="0" xfId="0" applyFont="1" applyAlignment="1">
      <alignment horizontal="center"/>
    </xf>
    <xf numFmtId="0" fontId="5" fillId="2" borderId="0" xfId="0" applyFont="1" applyFill="1"/>
    <xf numFmtId="0" fontId="3" fillId="0" borderId="0" xfId="0" applyFont="1"/>
    <xf numFmtId="0" fontId="7" fillId="0" borderId="0" xfId="0" applyFont="1" applyAlignment="1">
      <alignment vertical="center" wrapText="1"/>
    </xf>
    <xf numFmtId="0" fontId="11" fillId="2"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3" fontId="11" fillId="2" borderId="2" xfId="0" applyNumberFormat="1" applyFont="1" applyFill="1" applyBorder="1" applyAlignment="1">
      <alignmen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1" fontId="3" fillId="2" borderId="5" xfId="18" applyNumberFormat="1" applyFont="1" applyFill="1" applyBorder="1" applyAlignment="1">
      <alignment vertical="center" wrapText="1"/>
    </xf>
    <xf numFmtId="0" fontId="3" fillId="0" borderId="2" xfId="0" applyFont="1" applyBorder="1" applyAlignment="1">
      <alignment horizontal="center" vertical="center" wrapText="1"/>
    </xf>
    <xf numFmtId="1" fontId="3" fillId="2" borderId="7" xfId="18" applyNumberFormat="1" applyFont="1" applyFill="1" applyBorder="1" applyAlignment="1">
      <alignment vertical="center" wrapText="1"/>
    </xf>
    <xf numFmtId="1" fontId="4" fillId="0" borderId="5" xfId="18" applyNumberFormat="1" applyFont="1" applyBorder="1" applyAlignment="1">
      <alignment horizontal="center" vertical="center" wrapText="1"/>
    </xf>
    <xf numFmtId="41" fontId="3" fillId="0" borderId="5" xfId="0" applyNumberFormat="1" applyFont="1" applyBorder="1" applyAlignment="1">
      <alignment vertical="center" wrapText="1"/>
    </xf>
    <xf numFmtId="41" fontId="3" fillId="0" borderId="13" xfId="0" applyNumberFormat="1" applyFont="1" applyBorder="1" applyAlignment="1">
      <alignment vertical="center" wrapText="1"/>
    </xf>
    <xf numFmtId="1" fontId="4" fillId="0" borderId="18" xfId="18" applyNumberFormat="1" applyFont="1" applyBorder="1" applyAlignment="1">
      <alignment horizontal="center" vertical="center" wrapText="1"/>
    </xf>
    <xf numFmtId="3" fontId="3" fillId="2" borderId="0" xfId="0" applyNumberFormat="1" applyFont="1" applyFill="1"/>
    <xf numFmtId="3" fontId="11" fillId="2" borderId="0" xfId="0" applyNumberFormat="1" applyFont="1" applyFill="1"/>
    <xf numFmtId="0" fontId="11" fillId="2" borderId="0" xfId="0" applyFont="1" applyFill="1"/>
    <xf numFmtId="41" fontId="3" fillId="2" borderId="0" xfId="0" applyNumberFormat="1" applyFont="1" applyFill="1"/>
    <xf numFmtId="0" fontId="3" fillId="2" borderId="9" xfId="0" applyFont="1" applyFill="1" applyBorder="1"/>
    <xf numFmtId="0" fontId="4" fillId="0" borderId="2" xfId="0" applyFont="1" applyBorder="1" applyAlignment="1">
      <alignment horizontal="center" vertical="center" wrapText="1"/>
    </xf>
    <xf numFmtId="0" fontId="6" fillId="0" borderId="0" xfId="0" applyFont="1" applyAlignment="1">
      <alignment vertical="center" wrapText="1"/>
    </xf>
    <xf numFmtId="0" fontId="2" fillId="0" borderId="0" xfId="0" applyFont="1"/>
    <xf numFmtId="1" fontId="3" fillId="2" borderId="0" xfId="0" applyNumberFormat="1" applyFont="1" applyFill="1" applyAlignment="1">
      <alignment horizontal="center"/>
    </xf>
    <xf numFmtId="0" fontId="3" fillId="2" borderId="0" xfId="0" applyFont="1" applyFill="1" applyAlignment="1">
      <alignment horizontal="right"/>
    </xf>
    <xf numFmtId="41" fontId="12" fillId="2" borderId="2" xfId="0" applyNumberFormat="1" applyFont="1" applyFill="1" applyBorder="1" applyAlignment="1">
      <alignment horizontal="center" vertical="center" wrapText="1"/>
    </xf>
    <xf numFmtId="3" fontId="3" fillId="2" borderId="2" xfId="0" applyNumberFormat="1" applyFont="1" applyFill="1" applyBorder="1" applyAlignment="1">
      <alignment horizontal="right" vertical="center" wrapText="1"/>
    </xf>
    <xf numFmtId="0" fontId="11" fillId="3" borderId="2" xfId="0" applyFont="1" applyFill="1" applyBorder="1" applyAlignment="1">
      <alignment horizontal="center" vertical="center" wrapText="1"/>
    </xf>
    <xf numFmtId="0" fontId="11" fillId="3" borderId="2" xfId="0" applyFont="1" applyFill="1" applyBorder="1" applyAlignment="1">
      <alignment vertical="center" wrapText="1"/>
    </xf>
    <xf numFmtId="0" fontId="13" fillId="3" borderId="2" xfId="0" applyFont="1" applyFill="1" applyBorder="1" applyAlignment="1">
      <alignment vertical="center" wrapText="1"/>
    </xf>
    <xf numFmtId="1" fontId="11" fillId="3" borderId="2" xfId="0" applyNumberFormat="1" applyFont="1" applyFill="1" applyBorder="1" applyAlignment="1">
      <alignment horizontal="center" vertical="center" wrapText="1"/>
    </xf>
    <xf numFmtId="3" fontId="11" fillId="3" borderId="2" xfId="0" applyNumberFormat="1" applyFont="1" applyFill="1" applyBorder="1" applyAlignment="1">
      <alignment horizontal="right" vertical="center" wrapText="1"/>
    </xf>
    <xf numFmtId="0" fontId="11" fillId="3" borderId="3" xfId="0" applyFont="1" applyFill="1" applyBorder="1" applyAlignment="1">
      <alignment vertical="center" wrapText="1"/>
    </xf>
    <xf numFmtId="1" fontId="11" fillId="3" borderId="3" xfId="0" applyNumberFormat="1"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vertical="center" wrapText="1"/>
    </xf>
    <xf numFmtId="0" fontId="4" fillId="4" borderId="2" xfId="0" applyFont="1" applyFill="1" applyBorder="1" applyAlignment="1">
      <alignment vertical="center" wrapText="1"/>
    </xf>
    <xf numFmtId="1" fontId="11" fillId="4" borderId="3" xfId="0" applyNumberFormat="1" applyFont="1" applyFill="1" applyBorder="1" applyAlignment="1">
      <alignment horizontal="center" vertical="center" wrapText="1"/>
    </xf>
    <xf numFmtId="3" fontId="11" fillId="4" borderId="2" xfId="0" applyNumberFormat="1" applyFont="1" applyFill="1" applyBorder="1" applyAlignment="1">
      <alignment horizontal="right" vertical="center" wrapText="1"/>
    </xf>
    <xf numFmtId="1" fontId="3" fillId="2" borderId="2" xfId="0" applyNumberFormat="1" applyFont="1" applyFill="1" applyBorder="1" applyAlignment="1">
      <alignment horizontal="center" vertical="center" wrapText="1"/>
    </xf>
    <xf numFmtId="1" fontId="3" fillId="0" borderId="5" xfId="18" applyNumberFormat="1" applyFont="1" applyBorder="1" applyAlignment="1">
      <alignment vertical="center" wrapText="1"/>
    </xf>
    <xf numFmtId="1" fontId="3" fillId="0" borderId="5" xfId="18" applyNumberFormat="1" applyFont="1" applyBorder="1" applyAlignment="1">
      <alignment horizontal="center" vertical="center" wrapText="1"/>
    </xf>
    <xf numFmtId="3" fontId="3" fillId="0" borderId="5" xfId="18" applyNumberFormat="1" applyFont="1" applyBorder="1" applyAlignment="1">
      <alignment horizontal="right" vertical="center" wrapText="1"/>
    </xf>
    <xf numFmtId="1" fontId="3" fillId="0" borderId="7" xfId="18" applyNumberFormat="1" applyFont="1" applyBorder="1" applyAlignment="1">
      <alignment horizontal="center" vertical="center" wrapText="1"/>
    </xf>
    <xf numFmtId="3" fontId="3" fillId="0" borderId="7" xfId="18" applyNumberFormat="1" applyFont="1" applyBorder="1" applyAlignment="1">
      <alignment horizontal="right" vertical="center" wrapText="1"/>
    </xf>
    <xf numFmtId="41" fontId="3" fillId="0" borderId="7" xfId="0" applyNumberFormat="1" applyFont="1" applyBorder="1" applyAlignment="1">
      <alignment vertical="center" wrapText="1"/>
    </xf>
    <xf numFmtId="1" fontId="3" fillId="0" borderId="7" xfId="0" applyNumberFormat="1" applyFont="1" applyBorder="1" applyAlignment="1">
      <alignment horizontal="center" vertical="center" wrapText="1"/>
    </xf>
    <xf numFmtId="3" fontId="3" fillId="0" borderId="7" xfId="0" applyNumberFormat="1" applyFont="1" applyBorder="1" applyAlignment="1">
      <alignment horizontal="right" vertical="center" wrapText="1"/>
    </xf>
    <xf numFmtId="1" fontId="3" fillId="0" borderId="7" xfId="18" applyNumberFormat="1" applyFont="1" applyBorder="1" applyAlignment="1">
      <alignment vertical="center" wrapText="1"/>
    </xf>
    <xf numFmtId="0" fontId="4" fillId="0" borderId="3" xfId="0" applyFont="1" applyBorder="1" applyAlignment="1">
      <alignment horizontal="center" vertical="center" wrapText="1"/>
    </xf>
    <xf numFmtId="0" fontId="3" fillId="2" borderId="3" xfId="0" applyFont="1" applyFill="1" applyBorder="1" applyAlignment="1">
      <alignment horizontal="left" vertical="center" wrapText="1"/>
    </xf>
    <xf numFmtId="1" fontId="4" fillId="0" borderId="7" xfId="18" applyNumberFormat="1" applyFont="1" applyBorder="1" applyAlignment="1">
      <alignment horizontal="center" vertical="center" wrapText="1"/>
    </xf>
    <xf numFmtId="1" fontId="3" fillId="2" borderId="5" xfId="0" applyNumberFormat="1" applyFont="1" applyFill="1" applyBorder="1" applyAlignment="1">
      <alignment horizontal="center" vertical="center" wrapText="1"/>
    </xf>
    <xf numFmtId="3" fontId="3" fillId="2" borderId="5" xfId="0" applyNumberFormat="1" applyFont="1" applyFill="1" applyBorder="1" applyAlignment="1">
      <alignment horizontal="right" vertical="center" wrapText="1"/>
    </xf>
    <xf numFmtId="1" fontId="11" fillId="4" borderId="4" xfId="0" applyNumberFormat="1" applyFont="1" applyFill="1" applyBorder="1" applyAlignment="1">
      <alignment horizontal="center" vertical="center" wrapText="1"/>
    </xf>
    <xf numFmtId="1" fontId="3" fillId="2" borderId="5" xfId="18" applyNumberFormat="1" applyFont="1" applyFill="1" applyBorder="1" applyAlignment="1">
      <alignment horizontal="center" vertical="center" wrapText="1"/>
    </xf>
    <xf numFmtId="3" fontId="3" fillId="2" borderId="5" xfId="18" applyNumberFormat="1" applyFont="1" applyFill="1" applyBorder="1" applyAlignment="1">
      <alignment horizontal="right" vertical="center" wrapText="1"/>
    </xf>
    <xf numFmtId="41" fontId="4" fillId="0" borderId="5" xfId="0" applyNumberFormat="1" applyFont="1" applyBorder="1" applyAlignment="1">
      <alignment horizontal="center" vertical="center" wrapText="1"/>
    </xf>
    <xf numFmtId="41" fontId="4" fillId="2" borderId="5" xfId="0" applyNumberFormat="1" applyFont="1" applyFill="1" applyBorder="1" applyAlignment="1">
      <alignment horizontal="center" vertical="center" wrapText="1"/>
    </xf>
    <xf numFmtId="41" fontId="4" fillId="0" borderId="5" xfId="0" applyNumberFormat="1" applyFont="1" applyBorder="1" applyAlignment="1">
      <alignment vertical="center" wrapText="1"/>
    </xf>
    <xf numFmtId="3" fontId="3" fillId="2" borderId="0" xfId="0" applyNumberFormat="1" applyFont="1" applyFill="1" applyAlignment="1">
      <alignment horizontal="right"/>
    </xf>
    <xf numFmtId="0" fontId="12" fillId="2" borderId="20" xfId="0" applyFont="1" applyFill="1" applyBorder="1" applyAlignment="1">
      <alignment horizontal="center" vertical="center" wrapText="1"/>
    </xf>
    <xf numFmtId="166" fontId="3" fillId="2" borderId="0" xfId="0" applyNumberFormat="1" applyFont="1" applyFill="1"/>
    <xf numFmtId="0" fontId="13"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3" fontId="3" fillId="2" borderId="9" xfId="0" applyNumberFormat="1" applyFont="1" applyFill="1" applyBorder="1"/>
    <xf numFmtId="0" fontId="16" fillId="0" borderId="2" xfId="0" applyFont="1" applyBorder="1" applyAlignment="1">
      <alignment horizontal="center" vertical="center" wrapText="1"/>
    </xf>
    <xf numFmtId="3" fontId="16" fillId="0" borderId="2" xfId="0" applyNumberFormat="1" applyFont="1" applyBorder="1" applyAlignment="1">
      <alignment horizontal="center" vertical="center" wrapText="1"/>
    </xf>
    <xf numFmtId="0" fontId="16" fillId="4" borderId="2" xfId="0" applyFont="1" applyFill="1" applyBorder="1" applyAlignment="1">
      <alignment horizontal="center" vertical="center" wrapText="1"/>
    </xf>
    <xf numFmtId="1" fontId="25" fillId="0" borderId="5" xfId="18" applyNumberFormat="1" applyFont="1" applyBorder="1" applyAlignment="1">
      <alignment horizontal="right" vertical="center"/>
    </xf>
    <xf numFmtId="1" fontId="23" fillId="0" borderId="5" xfId="18" applyNumberFormat="1" applyFont="1" applyBorder="1" applyAlignment="1">
      <alignment horizontal="right" vertical="center"/>
    </xf>
    <xf numFmtId="0" fontId="20" fillId="0" borderId="0" xfId="0" applyFont="1"/>
    <xf numFmtId="0" fontId="11" fillId="0" borderId="0" xfId="0" applyFont="1"/>
    <xf numFmtId="43" fontId="2" fillId="2" borderId="2" xfId="1" applyFont="1" applyFill="1" applyBorder="1" applyAlignment="1">
      <alignment horizontal="center" vertical="center" wrapText="1"/>
    </xf>
    <xf numFmtId="0" fontId="32" fillId="0" borderId="2" xfId="0" applyFont="1" applyBorder="1" applyAlignment="1">
      <alignment horizontal="center" vertical="center" wrapText="1"/>
    </xf>
    <xf numFmtId="0" fontId="3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vertical="center" wrapText="1"/>
    </xf>
    <xf numFmtId="3" fontId="2" fillId="3" borderId="2" xfId="0" applyNumberFormat="1" applyFont="1" applyFill="1" applyBorder="1" applyAlignment="1">
      <alignment vertical="center" wrapText="1"/>
    </xf>
    <xf numFmtId="0" fontId="33" fillId="3" borderId="2" xfId="0" applyFont="1" applyFill="1" applyBorder="1" applyAlignment="1">
      <alignmen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vertical="center" wrapText="1"/>
    </xf>
    <xf numFmtId="3" fontId="2" fillId="5" borderId="2" xfId="0" applyNumberFormat="1" applyFont="1" applyFill="1" applyBorder="1" applyAlignment="1">
      <alignment vertical="center" wrapText="1"/>
    </xf>
    <xf numFmtId="0" fontId="33" fillId="5" borderId="2" xfId="0" applyFont="1" applyFill="1" applyBorder="1" applyAlignment="1">
      <alignment vertical="center" wrapText="1"/>
    </xf>
    <xf numFmtId="0" fontId="34" fillId="5" borderId="2"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vertical="center" wrapText="1"/>
    </xf>
    <xf numFmtId="3" fontId="2" fillId="4" borderId="2" xfId="0" applyNumberFormat="1" applyFont="1" applyFill="1" applyBorder="1" applyAlignment="1">
      <alignment vertical="center" wrapText="1"/>
    </xf>
    <xf numFmtId="0" fontId="35" fillId="4" borderId="2" xfId="0" applyFont="1" applyFill="1" applyBorder="1" applyAlignment="1">
      <alignment vertical="center" wrapText="1"/>
    </xf>
    <xf numFmtId="0" fontId="36" fillId="4" borderId="2" xfId="0" applyFont="1" applyFill="1" applyBorder="1" applyAlignment="1">
      <alignment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left" vertical="center" wrapText="1"/>
    </xf>
    <xf numFmtId="41" fontId="1" fillId="0" borderId="2" xfId="0" applyNumberFormat="1" applyFont="1" applyBorder="1" applyAlignment="1">
      <alignment vertical="center" wrapText="1"/>
    </xf>
    <xf numFmtId="41" fontId="1" fillId="0" borderId="5" xfId="17" applyNumberFormat="1" applyFont="1" applyBorder="1" applyAlignment="1">
      <alignment horizontal="center" vertical="center" wrapText="1"/>
    </xf>
    <xf numFmtId="0" fontId="35" fillId="0" borderId="2" xfId="0" applyFont="1" applyBorder="1" applyAlignment="1">
      <alignment horizontal="center" vertical="center" wrapText="1"/>
    </xf>
    <xf numFmtId="1" fontId="1" fillId="0" borderId="5" xfId="18" applyNumberFormat="1" applyFont="1" applyBorder="1" applyAlignment="1">
      <alignment vertical="center" wrapText="1"/>
    </xf>
    <xf numFmtId="1" fontId="1" fillId="0" borderId="0" xfId="18" applyNumberFormat="1" applyFont="1" applyAlignment="1">
      <alignment vertical="center" wrapText="1"/>
    </xf>
    <xf numFmtId="1" fontId="1" fillId="2" borderId="5" xfId="18" applyNumberFormat="1" applyFont="1" applyFill="1" applyBorder="1" applyAlignment="1">
      <alignment vertical="center" wrapText="1"/>
    </xf>
    <xf numFmtId="3" fontId="1" fillId="0" borderId="2" xfId="0" applyNumberFormat="1" applyFont="1" applyBorder="1" applyAlignment="1">
      <alignment vertical="center" wrapText="1"/>
    </xf>
    <xf numFmtId="1" fontId="35" fillId="0" borderId="5" xfId="18" applyNumberFormat="1" applyFont="1" applyBorder="1" applyAlignment="1">
      <alignment horizontal="center" vertical="center" wrapText="1"/>
    </xf>
    <xf numFmtId="1" fontId="1" fillId="2" borderId="29" xfId="18" applyNumberFormat="1" applyFont="1" applyFill="1" applyBorder="1" applyAlignment="1">
      <alignment vertical="center" wrapText="1"/>
    </xf>
    <xf numFmtId="41" fontId="1" fillId="0" borderId="30" xfId="0" applyNumberFormat="1" applyFont="1" applyBorder="1" applyAlignment="1">
      <alignment vertical="center" wrapText="1"/>
    </xf>
    <xf numFmtId="3" fontId="1" fillId="0" borderId="30" xfId="0" applyNumberFormat="1" applyFont="1" applyBorder="1" applyAlignment="1">
      <alignment vertical="center" wrapText="1"/>
    </xf>
    <xf numFmtId="1" fontId="35" fillId="0" borderId="31" xfId="18" applyNumberFormat="1" applyFont="1" applyBorder="1" applyAlignment="1">
      <alignment horizontal="center" vertical="center" wrapText="1"/>
    </xf>
    <xf numFmtId="1" fontId="1" fillId="2" borderId="0" xfId="18" applyNumberFormat="1" applyFont="1" applyFill="1" applyAlignment="1">
      <alignment vertical="center" wrapText="1"/>
    </xf>
    <xf numFmtId="41" fontId="1" fillId="0" borderId="20" xfId="0" applyNumberFormat="1" applyFont="1" applyBorder="1" applyAlignment="1">
      <alignment vertical="center" wrapText="1"/>
    </xf>
    <xf numFmtId="3" fontId="1" fillId="0" borderId="20" xfId="0" applyNumberFormat="1" applyFont="1" applyBorder="1" applyAlignment="1">
      <alignment vertical="center" wrapText="1"/>
    </xf>
    <xf numFmtId="1" fontId="35" fillId="0" borderId="0" xfId="18" applyNumberFormat="1" applyFont="1" applyAlignment="1">
      <alignment horizontal="center" vertical="center" wrapText="1"/>
    </xf>
    <xf numFmtId="1" fontId="37" fillId="0" borderId="0" xfId="18" applyNumberFormat="1" applyFont="1" applyAlignment="1">
      <alignment horizontal="center" vertical="center" wrapText="1"/>
    </xf>
    <xf numFmtId="3" fontId="11" fillId="4" borderId="2" xfId="0" applyNumberFormat="1" applyFont="1" applyFill="1" applyBorder="1" applyAlignment="1">
      <alignment vertical="center" wrapText="1"/>
    </xf>
    <xf numFmtId="0" fontId="17" fillId="4" borderId="2" xfId="0" applyFont="1" applyFill="1" applyBorder="1" applyAlignment="1">
      <alignment vertical="center" wrapText="1"/>
    </xf>
    <xf numFmtId="0" fontId="1" fillId="2" borderId="2" xfId="0" applyFont="1" applyFill="1" applyBorder="1" applyAlignment="1">
      <alignment horizontal="center" vertical="center" wrapText="1"/>
    </xf>
    <xf numFmtId="3" fontId="1" fillId="2" borderId="2" xfId="0" applyNumberFormat="1" applyFont="1" applyFill="1" applyBorder="1" applyAlignment="1">
      <alignment vertical="center" wrapText="1"/>
    </xf>
    <xf numFmtId="1" fontId="35" fillId="0" borderId="30" xfId="18" applyNumberFormat="1" applyFont="1" applyBorder="1" applyAlignment="1">
      <alignment horizontal="center" vertical="center" wrapText="1"/>
    </xf>
    <xf numFmtId="41" fontId="3" fillId="0" borderId="2" xfId="0" applyNumberFormat="1" applyFont="1" applyBorder="1" applyAlignment="1">
      <alignment vertical="center" wrapText="1"/>
    </xf>
    <xf numFmtId="3" fontId="3" fillId="2" borderId="2" xfId="0" applyNumberFormat="1" applyFont="1" applyFill="1" applyBorder="1" applyAlignment="1">
      <alignment vertical="center" wrapText="1"/>
    </xf>
    <xf numFmtId="1" fontId="4" fillId="0" borderId="0" xfId="18" applyNumberFormat="1" applyFont="1" applyAlignment="1">
      <alignment horizontal="center" vertical="center" wrapText="1"/>
    </xf>
    <xf numFmtId="1" fontId="38" fillId="0" borderId="0" xfId="18" applyNumberFormat="1" applyFont="1" applyAlignment="1">
      <alignment horizontal="center" vertical="center" wrapText="1"/>
    </xf>
    <xf numFmtId="0" fontId="34" fillId="5" borderId="16" xfId="0" applyFont="1" applyFill="1" applyBorder="1" applyAlignment="1">
      <alignment vertical="center" wrapText="1"/>
    </xf>
    <xf numFmtId="0" fontId="2" fillId="4" borderId="16" xfId="0" applyFont="1" applyFill="1" applyBorder="1" applyAlignment="1">
      <alignment horizontal="center" vertical="center" wrapText="1"/>
    </xf>
    <xf numFmtId="0" fontId="2" fillId="4" borderId="4" xfId="0" applyFont="1" applyFill="1" applyBorder="1" applyAlignment="1">
      <alignment vertical="center" wrapText="1"/>
    </xf>
    <xf numFmtId="3" fontId="2" fillId="4" borderId="16" xfId="0" applyNumberFormat="1" applyFont="1" applyFill="1" applyBorder="1" applyAlignment="1">
      <alignment vertical="center" wrapText="1"/>
    </xf>
    <xf numFmtId="0" fontId="35" fillId="4" borderId="4" xfId="0" applyFont="1" applyFill="1" applyBorder="1" applyAlignment="1">
      <alignment vertical="center" wrapText="1"/>
    </xf>
    <xf numFmtId="0" fontId="36" fillId="4" borderId="5" xfId="0" applyFont="1" applyFill="1" applyBorder="1" applyAlignment="1">
      <alignment vertical="center" wrapText="1"/>
    </xf>
    <xf numFmtId="1" fontId="37" fillId="0" borderId="5" xfId="18" applyNumberFormat="1" applyFont="1" applyBorder="1" applyAlignment="1">
      <alignment horizontal="center" vertical="center" wrapText="1"/>
    </xf>
    <xf numFmtId="41" fontId="1" fillId="0" borderId="5" xfId="0" applyNumberFormat="1" applyFont="1" applyBorder="1" applyAlignment="1">
      <alignment vertical="center" wrapText="1"/>
    </xf>
    <xf numFmtId="41" fontId="3" fillId="0" borderId="5" xfId="17" applyNumberFormat="1" applyFont="1" applyBorder="1" applyAlignment="1">
      <alignment horizontal="center" vertical="center" wrapText="1"/>
    </xf>
    <xf numFmtId="1" fontId="38" fillId="0" borderId="5" xfId="18" applyNumberFormat="1" applyFont="1" applyBorder="1" applyAlignment="1">
      <alignment horizontal="center" vertical="center" wrapText="1"/>
    </xf>
    <xf numFmtId="3" fontId="3" fillId="0" borderId="2" xfId="0" applyNumberFormat="1" applyFont="1" applyBorder="1" applyAlignment="1">
      <alignment vertical="center" wrapText="1"/>
    </xf>
    <xf numFmtId="41" fontId="35" fillId="0" borderId="5" xfId="0" applyNumberFormat="1" applyFont="1" applyBorder="1" applyAlignment="1">
      <alignment vertical="center" wrapText="1"/>
    </xf>
    <xf numFmtId="41" fontId="20" fillId="0" borderId="5" xfId="0" applyNumberFormat="1" applyFont="1" applyBorder="1" applyAlignment="1">
      <alignment vertical="center" wrapText="1"/>
    </xf>
    <xf numFmtId="41" fontId="20" fillId="0" borderId="2" xfId="0" applyNumberFormat="1" applyFont="1" applyBorder="1" applyAlignment="1">
      <alignment vertical="center" wrapText="1"/>
    </xf>
    <xf numFmtId="3" fontId="20" fillId="0" borderId="2" xfId="0" applyNumberFormat="1" applyFont="1" applyBorder="1" applyAlignment="1">
      <alignment vertical="center" wrapText="1"/>
    </xf>
    <xf numFmtId="41" fontId="39" fillId="0" borderId="5" xfId="0" applyNumberFormat="1" applyFont="1" applyBorder="1" applyAlignment="1">
      <alignment vertical="center" wrapText="1"/>
    </xf>
    <xf numFmtId="1" fontId="40" fillId="0" borderId="5" xfId="18" applyNumberFormat="1" applyFont="1" applyBorder="1" applyAlignment="1">
      <alignment horizontal="center" vertical="center" wrapText="1"/>
    </xf>
    <xf numFmtId="0" fontId="11" fillId="4" borderId="20" xfId="0" applyFont="1" applyFill="1" applyBorder="1" applyAlignment="1">
      <alignment horizontal="center" vertical="center" wrapText="1"/>
    </xf>
    <xf numFmtId="0" fontId="11" fillId="4" borderId="11" xfId="0" applyFont="1" applyFill="1" applyBorder="1" applyAlignment="1">
      <alignment vertical="center" wrapText="1"/>
    </xf>
    <xf numFmtId="3" fontId="11" fillId="4" borderId="20" xfId="0" applyNumberFormat="1" applyFont="1" applyFill="1" applyBorder="1" applyAlignment="1">
      <alignment vertical="center" wrapText="1"/>
    </xf>
    <xf numFmtId="0" fontId="4" fillId="4" borderId="20" xfId="0" applyFont="1" applyFill="1" applyBorder="1" applyAlignment="1">
      <alignment vertical="center" wrapText="1"/>
    </xf>
    <xf numFmtId="0" fontId="17" fillId="4" borderId="20" xfId="0" applyFont="1" applyFill="1" applyBorder="1" applyAlignment="1">
      <alignment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vertical="center" wrapText="1"/>
    </xf>
    <xf numFmtId="3" fontId="11" fillId="5" borderId="2" xfId="0" applyNumberFormat="1" applyFont="1" applyFill="1" applyBorder="1" applyAlignment="1">
      <alignment vertical="center" wrapText="1"/>
    </xf>
    <xf numFmtId="0" fontId="13" fillId="5" borderId="2" xfId="0" applyFont="1" applyFill="1" applyBorder="1" applyAlignment="1">
      <alignment vertical="center" wrapText="1"/>
    </xf>
    <xf numFmtId="0" fontId="19" fillId="5" borderId="16"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4" xfId="0" applyFont="1" applyFill="1" applyBorder="1" applyAlignment="1">
      <alignment vertical="center" wrapText="1"/>
    </xf>
    <xf numFmtId="3" fontId="11" fillId="4" borderId="16" xfId="0" applyNumberFormat="1" applyFont="1" applyFill="1" applyBorder="1" applyAlignment="1">
      <alignment vertical="center" wrapText="1"/>
    </xf>
    <xf numFmtId="0" fontId="4" fillId="4" borderId="4" xfId="0" applyFont="1" applyFill="1" applyBorder="1" applyAlignment="1">
      <alignment vertical="center" wrapText="1"/>
    </xf>
    <xf numFmtId="0" fontId="17" fillId="4" borderId="5" xfId="0" applyFont="1" applyFill="1" applyBorder="1" applyAlignment="1">
      <alignment vertical="center" wrapText="1"/>
    </xf>
    <xf numFmtId="0" fontId="1" fillId="2" borderId="5" xfId="0" applyFont="1" applyFill="1" applyBorder="1" applyAlignment="1">
      <alignment horizontal="left" vertical="center" wrapText="1"/>
    </xf>
    <xf numFmtId="0" fontId="3" fillId="0" borderId="16" xfId="0" applyFont="1" applyBorder="1" applyAlignment="1">
      <alignment horizontal="center" vertical="center" wrapText="1"/>
    </xf>
    <xf numFmtId="0" fontId="32" fillId="0" borderId="20" xfId="0" applyFont="1" applyBorder="1" applyAlignment="1">
      <alignment horizontal="center" vertical="center" wrapText="1"/>
    </xf>
    <xf numFmtId="0" fontId="33" fillId="3" borderId="2" xfId="0" applyFont="1" applyFill="1" applyBorder="1" applyAlignment="1">
      <alignment horizontal="center" vertical="center" wrapText="1"/>
    </xf>
    <xf numFmtId="3" fontId="2" fillId="0" borderId="0" xfId="0" applyNumberFormat="1" applyFont="1"/>
    <xf numFmtId="0" fontId="33" fillId="5" borderId="2" xfId="0" applyFont="1" applyFill="1" applyBorder="1" applyAlignment="1">
      <alignment horizontal="center" vertical="center" wrapText="1"/>
    </xf>
    <xf numFmtId="0" fontId="35" fillId="4" borderId="2" xfId="0" applyFont="1" applyFill="1" applyBorder="1" applyAlignment="1">
      <alignment horizontal="center" vertical="center" wrapText="1"/>
    </xf>
    <xf numFmtId="3" fontId="1" fillId="0" borderId="0" xfId="0" applyNumberFormat="1" applyFont="1"/>
    <xf numFmtId="0" fontId="1" fillId="0" borderId="9" xfId="0" applyFont="1" applyBorder="1"/>
    <xf numFmtId="0" fontId="35" fillId="2" borderId="2" xfId="0" applyFont="1" applyFill="1" applyBorder="1" applyAlignment="1">
      <alignment horizontal="center" vertical="center" wrapText="1"/>
    </xf>
    <xf numFmtId="0" fontId="3" fillId="0" borderId="9" xfId="0" applyFont="1" applyBorder="1"/>
    <xf numFmtId="0" fontId="35" fillId="4" borderId="13" xfId="0" applyFont="1" applyFill="1" applyBorder="1" applyAlignment="1">
      <alignment horizontal="center" vertical="center" wrapText="1"/>
    </xf>
    <xf numFmtId="41" fontId="39" fillId="6" borderId="5" xfId="0" applyNumberFormat="1" applyFont="1" applyFill="1" applyBorder="1" applyAlignment="1">
      <alignment vertical="center" wrapText="1"/>
    </xf>
    <xf numFmtId="0" fontId="4" fillId="4" borderId="20" xfId="0" applyFont="1" applyFill="1" applyBorder="1" applyAlignment="1">
      <alignment horizontal="center" vertical="center" wrapText="1"/>
    </xf>
    <xf numFmtId="0" fontId="13" fillId="5" borderId="2" xfId="0" applyFont="1" applyFill="1" applyBorder="1" applyAlignment="1">
      <alignment horizontal="center" vertical="center" wrapText="1"/>
    </xf>
    <xf numFmtId="3" fontId="11" fillId="0" borderId="0" xfId="0" applyNumberFormat="1" applyFont="1"/>
    <xf numFmtId="0" fontId="4" fillId="4" borderId="13" xfId="0" applyFont="1" applyFill="1" applyBorder="1" applyAlignment="1">
      <alignment horizontal="center" vertical="center" wrapText="1"/>
    </xf>
    <xf numFmtId="1" fontId="3" fillId="0" borderId="0" xfId="18" applyNumberFormat="1" applyFont="1" applyAlignment="1">
      <alignment vertical="center" wrapText="1"/>
    </xf>
    <xf numFmtId="41" fontId="3" fillId="0" borderId="0" xfId="17" applyNumberFormat="1" applyFont="1" applyAlignment="1">
      <alignment horizontal="center" vertical="center" wrapText="1"/>
    </xf>
    <xf numFmtId="3" fontId="1" fillId="0" borderId="0" xfId="0" applyNumberFormat="1" applyFont="1" applyAlignment="1">
      <alignment vertical="center" wrapText="1"/>
    </xf>
    <xf numFmtId="0" fontId="35" fillId="0" borderId="3" xfId="0" applyFont="1" applyBorder="1" applyAlignment="1">
      <alignment horizontal="center" vertical="center" wrapText="1"/>
    </xf>
    <xf numFmtId="49" fontId="11" fillId="2" borderId="2" xfId="0" applyNumberFormat="1" applyFont="1" applyFill="1" applyBorder="1" applyAlignment="1">
      <alignment horizontal="center" vertical="center" wrapText="1"/>
    </xf>
    <xf numFmtId="43" fontId="11" fillId="2" borderId="2" xfId="1" applyFont="1" applyFill="1" applyBorder="1" applyAlignment="1">
      <alignment horizontal="center" vertical="center" wrapText="1"/>
    </xf>
    <xf numFmtId="0" fontId="18" fillId="0" borderId="2" xfId="0" applyFont="1" applyBorder="1" applyAlignment="1">
      <alignment horizontal="center" vertical="center" wrapText="1"/>
    </xf>
    <xf numFmtId="0" fontId="18" fillId="2" borderId="2" xfId="0" applyFont="1" applyFill="1" applyBorder="1" applyAlignment="1">
      <alignment horizontal="center" vertical="center" wrapText="1"/>
    </xf>
    <xf numFmtId="1" fontId="37" fillId="0" borderId="31" xfId="18" applyNumberFormat="1" applyFont="1" applyBorder="1" applyAlignment="1">
      <alignment horizontal="center" vertical="center" wrapText="1"/>
    </xf>
    <xf numFmtId="1" fontId="37" fillId="0" borderId="30" xfId="18" applyNumberFormat="1" applyFont="1" applyBorder="1" applyAlignment="1">
      <alignment horizontal="center" vertical="center" wrapText="1"/>
    </xf>
    <xf numFmtId="0" fontId="1" fillId="2" borderId="3" xfId="0" applyFont="1" applyFill="1" applyBorder="1" applyAlignment="1">
      <alignment horizontal="left" vertical="center" wrapText="1"/>
    </xf>
    <xf numFmtId="0" fontId="36" fillId="4" borderId="4" xfId="0" applyFont="1" applyFill="1" applyBorder="1" applyAlignment="1">
      <alignment vertical="center" wrapText="1"/>
    </xf>
    <xf numFmtId="1" fontId="37" fillId="0" borderId="7" xfId="18" applyNumberFormat="1" applyFont="1" applyBorder="1" applyAlignment="1">
      <alignment horizontal="center" vertical="center" wrapText="1"/>
    </xf>
    <xf numFmtId="0" fontId="2" fillId="4" borderId="20" xfId="0" applyFont="1" applyFill="1" applyBorder="1" applyAlignment="1">
      <alignment horizontal="center" vertical="center" wrapText="1"/>
    </xf>
    <xf numFmtId="0" fontId="2" fillId="4" borderId="11" xfId="0" applyFont="1" applyFill="1" applyBorder="1" applyAlignment="1">
      <alignment vertical="center" wrapText="1"/>
    </xf>
    <xf numFmtId="3" fontId="2" fillId="4" borderId="20" xfId="0" applyNumberFormat="1" applyFont="1" applyFill="1" applyBorder="1" applyAlignment="1">
      <alignment vertical="center" wrapText="1"/>
    </xf>
    <xf numFmtId="0" fontId="36" fillId="4" borderId="20" xfId="0" applyFont="1" applyFill="1" applyBorder="1" applyAlignment="1">
      <alignment vertical="center" wrapText="1"/>
    </xf>
    <xf numFmtId="0" fontId="3" fillId="0" borderId="2" xfId="0" applyFont="1" applyBorder="1" applyAlignment="1">
      <alignment vertical="center" wrapText="1"/>
    </xf>
    <xf numFmtId="41" fontId="1" fillId="0" borderId="0" xfId="17" applyNumberFormat="1" applyFont="1" applyAlignment="1">
      <alignment horizontal="center" vertical="center" wrapText="1"/>
    </xf>
    <xf numFmtId="0" fontId="1" fillId="0" borderId="16" xfId="0" applyFont="1" applyBorder="1" applyAlignment="1">
      <alignment horizontal="center" vertical="center" wrapText="1"/>
    </xf>
    <xf numFmtId="0" fontId="18" fillId="0" borderId="20" xfId="0" applyFont="1" applyBorder="1" applyAlignment="1">
      <alignment horizontal="center" vertical="center" wrapText="1"/>
    </xf>
    <xf numFmtId="0" fontId="1" fillId="4" borderId="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35" fillId="0" borderId="14" xfId="0" applyFont="1" applyBorder="1" applyAlignment="1">
      <alignment horizontal="center" vertical="center" wrapText="1"/>
    </xf>
    <xf numFmtId="41" fontId="1" fillId="6" borderId="5" xfId="0" applyNumberFormat="1" applyFont="1" applyFill="1" applyBorder="1" applyAlignment="1">
      <alignment vertical="center" wrapText="1"/>
    </xf>
    <xf numFmtId="0" fontId="1" fillId="4" borderId="20" xfId="0" applyFont="1" applyFill="1" applyBorder="1" applyAlignment="1">
      <alignment horizontal="center" vertical="center" wrapText="1"/>
    </xf>
    <xf numFmtId="0" fontId="1" fillId="0" borderId="1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5" xfId="0" applyFont="1" applyBorder="1" applyAlignment="1">
      <alignment horizontal="center" vertical="center" wrapText="1"/>
    </xf>
    <xf numFmtId="41" fontId="1" fillId="0" borderId="21" xfId="0" applyNumberFormat="1" applyFont="1" applyBorder="1" applyAlignment="1">
      <alignment vertical="center" wrapText="1"/>
    </xf>
    <xf numFmtId="0" fontId="3" fillId="0" borderId="0" xfId="0" applyFont="1" applyAlignment="1">
      <alignment horizontal="right"/>
    </xf>
    <xf numFmtId="0" fontId="18" fillId="0" borderId="5" xfId="0" applyFont="1" applyBorder="1" applyAlignment="1">
      <alignment horizontal="center" vertical="center" wrapText="1"/>
    </xf>
    <xf numFmtId="0" fontId="11" fillId="5" borderId="5" xfId="0" applyFont="1" applyFill="1" applyBorder="1" applyAlignment="1">
      <alignment horizontal="center" vertical="center" wrapText="1"/>
    </xf>
    <xf numFmtId="0" fontId="11" fillId="5" borderId="5" xfId="0" applyFont="1" applyFill="1" applyBorder="1" applyAlignment="1">
      <alignment vertical="center" wrapText="1"/>
    </xf>
    <xf numFmtId="0" fontId="22" fillId="5" borderId="5" xfId="0" applyFont="1" applyFill="1" applyBorder="1" applyAlignment="1">
      <alignment vertical="center" wrapText="1"/>
    </xf>
    <xf numFmtId="3" fontId="11" fillId="5" borderId="5" xfId="0" applyNumberFormat="1" applyFont="1" applyFill="1" applyBorder="1" applyAlignment="1">
      <alignment vertical="center" wrapText="1"/>
    </xf>
    <xf numFmtId="0" fontId="11" fillId="3" borderId="5" xfId="0" applyFont="1" applyFill="1" applyBorder="1" applyAlignment="1">
      <alignment horizontal="center" vertical="center" wrapText="1"/>
    </xf>
    <xf numFmtId="0" fontId="17" fillId="3" borderId="5" xfId="0" applyFont="1" applyFill="1" applyBorder="1" applyAlignment="1">
      <alignment vertical="center" wrapText="1"/>
    </xf>
    <xf numFmtId="3" fontId="11" fillId="3" borderId="5" xfId="0" applyNumberFormat="1" applyFont="1" applyFill="1" applyBorder="1" applyAlignment="1">
      <alignment vertical="center" wrapText="1"/>
    </xf>
    <xf numFmtId="0" fontId="3" fillId="3" borderId="5" xfId="0" applyFont="1" applyFill="1" applyBorder="1" applyAlignment="1">
      <alignment vertical="center" wrapText="1"/>
    </xf>
    <xf numFmtId="0" fontId="3" fillId="3"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7" fillId="0" borderId="5" xfId="0" applyFont="1" applyBorder="1" applyAlignment="1">
      <alignment vertical="center" wrapText="1"/>
    </xf>
    <xf numFmtId="3" fontId="3" fillId="0" borderId="5" xfId="0" applyNumberFormat="1" applyFont="1" applyBorder="1" applyAlignment="1">
      <alignment vertical="center" wrapText="1"/>
    </xf>
    <xf numFmtId="41" fontId="43" fillId="0" borderId="5" xfId="17" applyNumberFormat="1" applyFont="1" applyBorder="1" applyAlignment="1">
      <alignment horizontal="center" vertical="center" wrapText="1"/>
    </xf>
    <xf numFmtId="0" fontId="19" fillId="3" borderId="5" xfId="0" applyFont="1" applyFill="1" applyBorder="1" applyAlignment="1">
      <alignment vertical="center" wrapText="1"/>
    </xf>
    <xf numFmtId="0" fontId="11" fillId="3" borderId="5" xfId="0" applyFont="1" applyFill="1" applyBorder="1" applyAlignment="1">
      <alignment vertical="center" wrapText="1"/>
    </xf>
    <xf numFmtId="41" fontId="11" fillId="3" borderId="5" xfId="0" applyNumberFormat="1" applyFont="1" applyFill="1" applyBorder="1" applyAlignment="1">
      <alignment vertical="center" wrapText="1"/>
    </xf>
    <xf numFmtId="0" fontId="11" fillId="4" borderId="5" xfId="0" applyFont="1" applyFill="1" applyBorder="1" applyAlignment="1">
      <alignment horizontal="center" vertical="center" wrapText="1"/>
    </xf>
    <xf numFmtId="0" fontId="19" fillId="4" borderId="5" xfId="0" applyFont="1" applyFill="1" applyBorder="1" applyAlignment="1">
      <alignment vertical="center" wrapText="1"/>
    </xf>
    <xf numFmtId="41" fontId="11" fillId="4" borderId="5" xfId="0" applyNumberFormat="1" applyFont="1" applyFill="1" applyBorder="1" applyAlignment="1">
      <alignment vertical="center" wrapText="1"/>
    </xf>
    <xf numFmtId="0" fontId="11" fillId="4" borderId="5" xfId="0" applyFont="1" applyFill="1" applyBorder="1" applyAlignment="1">
      <alignment vertical="center" wrapText="1"/>
    </xf>
    <xf numFmtId="0" fontId="3" fillId="2" borderId="5" xfId="0" applyFont="1" applyFill="1" applyBorder="1" applyAlignment="1">
      <alignment horizontal="left" vertical="center" wrapText="1"/>
    </xf>
    <xf numFmtId="3" fontId="11" fillId="4" borderId="5" xfId="0" applyNumberFormat="1" applyFont="1" applyFill="1" applyBorder="1" applyAlignment="1">
      <alignment vertical="center" wrapText="1"/>
    </xf>
    <xf numFmtId="0" fontId="3" fillId="4"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2" borderId="5" xfId="0" applyFont="1" applyFill="1" applyBorder="1" applyAlignment="1">
      <alignment horizontal="center" vertical="center" wrapText="1"/>
    </xf>
    <xf numFmtId="0" fontId="20" fillId="2" borderId="2" xfId="0" applyFont="1" applyFill="1" applyBorder="1" applyAlignment="1">
      <alignment horizontal="left" vertical="center" wrapText="1"/>
    </xf>
    <xf numFmtId="0" fontId="44" fillId="0" borderId="5" xfId="0" applyFont="1" applyBorder="1" applyAlignment="1">
      <alignment vertical="center" wrapText="1"/>
    </xf>
    <xf numFmtId="3" fontId="20" fillId="0" borderId="5" xfId="0" applyNumberFormat="1" applyFont="1" applyBorder="1" applyAlignment="1">
      <alignment vertical="center" wrapText="1"/>
    </xf>
    <xf numFmtId="0" fontId="40" fillId="0" borderId="5" xfId="0" applyFont="1" applyBorder="1" applyAlignment="1">
      <alignment horizontal="center" vertical="center" wrapText="1"/>
    </xf>
    <xf numFmtId="0" fontId="20" fillId="2" borderId="5" xfId="0" applyFont="1" applyFill="1" applyBorder="1" applyAlignment="1">
      <alignment horizontal="left" vertical="center" wrapText="1"/>
    </xf>
    <xf numFmtId="0" fontId="17" fillId="0" borderId="2" xfId="0" applyFont="1" applyBorder="1" applyAlignment="1">
      <alignment vertical="center" wrapText="1"/>
    </xf>
    <xf numFmtId="0" fontId="11" fillId="7" borderId="5" xfId="0" applyFont="1" applyFill="1" applyBorder="1" applyAlignment="1">
      <alignment horizontal="center" vertical="center" wrapText="1"/>
    </xf>
    <xf numFmtId="0" fontId="19" fillId="7" borderId="5" xfId="0" applyFont="1" applyFill="1" applyBorder="1" applyAlignment="1">
      <alignment vertical="center" wrapText="1"/>
    </xf>
    <xf numFmtId="3" fontId="11" fillId="7" borderId="5" xfId="0" applyNumberFormat="1" applyFont="1" applyFill="1" applyBorder="1" applyAlignment="1">
      <alignment vertical="center" wrapText="1"/>
    </xf>
    <xf numFmtId="0" fontId="12" fillId="0" borderId="5" xfId="0" applyFont="1" applyBorder="1" applyAlignment="1">
      <alignment horizontal="center" vertical="center" wrapText="1"/>
    </xf>
    <xf numFmtId="3" fontId="11" fillId="5" borderId="5" xfId="0" applyNumberFormat="1" applyFont="1" applyFill="1" applyBorder="1" applyAlignment="1">
      <alignment horizontal="center" vertical="center" wrapText="1"/>
    </xf>
    <xf numFmtId="3" fontId="11" fillId="5" borderId="5" xfId="0" applyNumberFormat="1" applyFont="1" applyFill="1" applyBorder="1" applyAlignment="1">
      <alignment horizontal="right" vertical="center" wrapText="1"/>
    </xf>
    <xf numFmtId="0" fontId="17" fillId="3" borderId="5" xfId="0" applyFont="1" applyFill="1" applyBorder="1" applyAlignment="1">
      <alignment horizontal="center" vertical="center" wrapText="1"/>
    </xf>
    <xf numFmtId="3" fontId="11" fillId="3" borderId="5" xfId="0" applyNumberFormat="1" applyFont="1" applyFill="1" applyBorder="1" applyAlignment="1">
      <alignment horizontal="right" vertical="center" wrapText="1"/>
    </xf>
    <xf numFmtId="0" fontId="17" fillId="0" borderId="5" xfId="0" applyFont="1" applyBorder="1" applyAlignment="1">
      <alignment horizontal="center" vertical="center" wrapText="1"/>
    </xf>
    <xf numFmtId="3" fontId="3" fillId="0" borderId="5" xfId="0" applyNumberFormat="1" applyFont="1" applyBorder="1" applyAlignment="1">
      <alignment horizontal="center" vertical="center" wrapText="1"/>
    </xf>
    <xf numFmtId="3" fontId="3" fillId="0" borderId="5" xfId="0" applyNumberFormat="1" applyFont="1" applyBorder="1" applyAlignment="1">
      <alignment horizontal="right" vertical="center" wrapText="1"/>
    </xf>
    <xf numFmtId="0" fontId="19" fillId="3" borderId="5" xfId="0" applyFont="1" applyFill="1" applyBorder="1" applyAlignment="1">
      <alignment horizontal="center" vertical="center" wrapText="1"/>
    </xf>
    <xf numFmtId="0" fontId="19" fillId="4" borderId="5" xfId="0" applyFont="1" applyFill="1" applyBorder="1" applyAlignment="1">
      <alignment horizontal="center" vertical="center" wrapText="1"/>
    </xf>
    <xf numFmtId="41" fontId="11" fillId="4" borderId="5" xfId="0" applyNumberFormat="1" applyFont="1" applyFill="1" applyBorder="1" applyAlignment="1">
      <alignment horizontal="right" vertical="center" wrapText="1"/>
    </xf>
    <xf numFmtId="0" fontId="17" fillId="4" borderId="5" xfId="0" applyFont="1" applyFill="1" applyBorder="1" applyAlignment="1">
      <alignment horizontal="center" vertical="center" wrapText="1"/>
    </xf>
    <xf numFmtId="3" fontId="3" fillId="4" borderId="5" xfId="0" applyNumberFormat="1" applyFont="1" applyFill="1" applyBorder="1" applyAlignment="1">
      <alignment vertical="center" wrapText="1"/>
    </xf>
    <xf numFmtId="3" fontId="11" fillId="4" borderId="5" xfId="0" applyNumberFormat="1" applyFont="1" applyFill="1" applyBorder="1" applyAlignment="1">
      <alignment horizontal="right" vertical="center" wrapText="1"/>
    </xf>
    <xf numFmtId="0" fontId="44" fillId="0" borderId="5" xfId="0" applyFont="1" applyBorder="1" applyAlignment="1">
      <alignment horizontal="center" vertical="center" wrapText="1"/>
    </xf>
    <xf numFmtId="3" fontId="20" fillId="0" borderId="5" xfId="0" applyNumberFormat="1" applyFont="1" applyBorder="1" applyAlignment="1">
      <alignment horizontal="right" vertical="center" wrapText="1"/>
    </xf>
    <xf numFmtId="3" fontId="20" fillId="0" borderId="5" xfId="0" applyNumberFormat="1" applyFont="1" applyBorder="1" applyAlignment="1">
      <alignment horizontal="center" vertical="center" wrapText="1"/>
    </xf>
    <xf numFmtId="0" fontId="19" fillId="7" borderId="5" xfId="0" applyFont="1" applyFill="1" applyBorder="1" applyAlignment="1">
      <alignment horizontal="center" vertical="center" wrapText="1"/>
    </xf>
    <xf numFmtId="3" fontId="11" fillId="7" borderId="5" xfId="0" applyNumberFormat="1" applyFont="1" applyFill="1" applyBorder="1" applyAlignment="1">
      <alignment horizontal="center" vertical="center" wrapText="1"/>
    </xf>
    <xf numFmtId="3" fontId="11" fillId="7" borderId="5" xfId="0" applyNumberFormat="1" applyFont="1" applyFill="1" applyBorder="1" applyAlignment="1">
      <alignment horizontal="right" vertical="center" wrapText="1"/>
    </xf>
    <xf numFmtId="3" fontId="3" fillId="0" borderId="0" xfId="0" applyNumberFormat="1" applyFont="1"/>
    <xf numFmtId="0" fontId="38"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22" fillId="0" borderId="2" xfId="0" applyFont="1" applyBorder="1" applyAlignment="1">
      <alignment vertical="center" wrapText="1"/>
    </xf>
    <xf numFmtId="3" fontId="11" fillId="0" borderId="2" xfId="0" applyNumberFormat="1" applyFont="1" applyBorder="1" applyAlignment="1">
      <alignment vertical="center" wrapText="1"/>
    </xf>
    <xf numFmtId="0" fontId="22" fillId="3" borderId="2" xfId="0" applyFont="1" applyFill="1" applyBorder="1" applyAlignment="1">
      <alignment vertical="center" wrapText="1"/>
    </xf>
    <xf numFmtId="0" fontId="19" fillId="3" borderId="2" xfId="0" applyFont="1" applyFill="1" applyBorder="1" applyAlignment="1">
      <alignment vertical="center" wrapText="1"/>
    </xf>
    <xf numFmtId="3" fontId="11" fillId="3" borderId="2" xfId="0" applyNumberFormat="1" applyFont="1" applyFill="1" applyBorder="1" applyAlignment="1">
      <alignment vertical="center" wrapText="1"/>
    </xf>
    <xf numFmtId="0" fontId="11" fillId="7" borderId="2" xfId="0" applyFont="1" applyFill="1" applyBorder="1" applyAlignment="1">
      <alignment horizontal="center" vertical="center" wrapText="1"/>
    </xf>
    <xf numFmtId="0" fontId="19" fillId="7" borderId="14" xfId="0" applyFont="1" applyFill="1" applyBorder="1" applyAlignment="1">
      <alignment vertical="center" wrapText="1"/>
    </xf>
    <xf numFmtId="3" fontId="11" fillId="7" borderId="2" xfId="0" applyNumberFormat="1" applyFont="1" applyFill="1" applyBorder="1" applyAlignment="1">
      <alignment vertical="center" wrapText="1"/>
    </xf>
    <xf numFmtId="0" fontId="3" fillId="3" borderId="20" xfId="0" applyFont="1" applyFill="1" applyBorder="1" applyAlignment="1">
      <alignment vertical="center" wrapText="1"/>
    </xf>
    <xf numFmtId="0" fontId="11" fillId="3" borderId="20" xfId="0" applyFont="1" applyFill="1" applyBorder="1" applyAlignment="1">
      <alignment horizontal="center" vertical="center" wrapText="1"/>
    </xf>
    <xf numFmtId="0" fontId="17" fillId="3" borderId="2" xfId="0" applyFont="1" applyFill="1" applyBorder="1" applyAlignment="1">
      <alignment vertical="center" wrapText="1"/>
    </xf>
    <xf numFmtId="0" fontId="19" fillId="7" borderId="2" xfId="0" applyFont="1" applyFill="1" applyBorder="1" applyAlignment="1">
      <alignment vertical="center" wrapText="1"/>
    </xf>
    <xf numFmtId="3" fontId="11" fillId="7" borderId="2"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19" fillId="7" borderId="2" xfId="0" applyFont="1" applyFill="1" applyBorder="1" applyAlignment="1">
      <alignment horizontal="center" vertical="center" wrapText="1"/>
    </xf>
    <xf numFmtId="3" fontId="3" fillId="7" borderId="2" xfId="0" applyNumberFormat="1" applyFont="1" applyFill="1" applyBorder="1" applyAlignment="1">
      <alignment vertical="center" wrapText="1"/>
    </xf>
    <xf numFmtId="3" fontId="11" fillId="3" borderId="2" xfId="0" applyNumberFormat="1" applyFont="1" applyFill="1" applyBorder="1" applyAlignment="1">
      <alignment horizontal="center" vertical="center" wrapText="1"/>
    </xf>
    <xf numFmtId="0" fontId="11" fillId="0" borderId="0" xfId="0" applyFont="1" applyAlignment="1">
      <alignment horizontal="center"/>
    </xf>
    <xf numFmtId="0" fontId="0" fillId="0" borderId="0" xfId="0" applyAlignment="1">
      <alignment horizontal="center"/>
    </xf>
    <xf numFmtId="0" fontId="46" fillId="0" borderId="5" xfId="0" applyFont="1" applyBorder="1" applyAlignment="1">
      <alignment horizontal="center" wrapText="1"/>
    </xf>
    <xf numFmtId="0" fontId="46" fillId="0" borderId="5" xfId="0" applyFont="1" applyBorder="1" applyAlignment="1">
      <alignment wrapText="1"/>
    </xf>
    <xf numFmtId="0" fontId="46" fillId="6" borderId="5" xfId="0" applyFont="1" applyFill="1" applyBorder="1" applyAlignment="1">
      <alignment horizontal="center" wrapText="1"/>
    </xf>
    <xf numFmtId="0" fontId="46" fillId="6" borderId="5" xfId="0" applyFont="1" applyFill="1" applyBorder="1" applyAlignment="1">
      <alignment wrapText="1"/>
    </xf>
    <xf numFmtId="0" fontId="47" fillId="2" borderId="0" xfId="0" applyFont="1" applyFill="1"/>
    <xf numFmtId="0" fontId="48" fillId="0" borderId="0" xfId="0" applyFont="1"/>
    <xf numFmtId="0" fontId="47" fillId="0" borderId="0" xfId="0" applyFont="1" applyAlignment="1">
      <alignment horizontal="center"/>
    </xf>
    <xf numFmtId="0" fontId="47" fillId="0" borderId="0" xfId="0" applyFont="1"/>
    <xf numFmtId="0" fontId="54"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2" xfId="0" applyFont="1" applyBorder="1" applyAlignment="1">
      <alignment vertical="center" wrapText="1"/>
    </xf>
    <xf numFmtId="0" fontId="55" fillId="0" borderId="2" xfId="0" applyFont="1" applyBorder="1" applyAlignment="1">
      <alignment vertical="center" wrapText="1"/>
    </xf>
    <xf numFmtId="0" fontId="53" fillId="0" borderId="2"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2" xfId="0" applyFont="1" applyBorder="1" applyAlignment="1">
      <alignment vertical="center" wrapText="1"/>
    </xf>
    <xf numFmtId="0" fontId="47" fillId="0" borderId="2" xfId="0" applyFont="1" applyBorder="1" applyAlignment="1">
      <alignment horizontal="left" vertical="center" wrapText="1"/>
    </xf>
    <xf numFmtId="0" fontId="56" fillId="0" borderId="2" xfId="0" applyFont="1" applyBorder="1" applyAlignment="1">
      <alignment vertical="center" wrapText="1"/>
    </xf>
    <xf numFmtId="3" fontId="47" fillId="0" borderId="2" xfId="0" applyNumberFormat="1" applyFont="1" applyBorder="1" applyAlignment="1">
      <alignment vertical="center" wrapText="1"/>
    </xf>
    <xf numFmtId="3" fontId="47" fillId="0" borderId="2" xfId="0" applyNumberFormat="1" applyFont="1" applyBorder="1" applyAlignment="1">
      <alignment horizontal="center" vertical="center" wrapText="1"/>
    </xf>
    <xf numFmtId="0" fontId="57" fillId="0" borderId="0" xfId="0" applyFont="1"/>
    <xf numFmtId="0" fontId="9" fillId="0" borderId="0" xfId="0" applyFont="1"/>
    <xf numFmtId="0" fontId="38" fillId="2" borderId="2" xfId="0" applyFont="1" applyFill="1" applyBorder="1" applyAlignment="1">
      <alignment horizontal="center" vertical="center" wrapText="1"/>
    </xf>
    <xf numFmtId="41" fontId="11" fillId="0" borderId="2" xfId="0" applyNumberFormat="1" applyFont="1" applyBorder="1" applyAlignment="1">
      <alignment vertical="center" wrapText="1"/>
    </xf>
    <xf numFmtId="41" fontId="11" fillId="3" borderId="16" xfId="0" applyNumberFormat="1" applyFont="1" applyFill="1" applyBorder="1" applyAlignment="1">
      <alignment vertical="center" wrapText="1"/>
    </xf>
    <xf numFmtId="0" fontId="3" fillId="4" borderId="2" xfId="0" applyFont="1" applyFill="1" applyBorder="1" applyAlignment="1">
      <alignment horizontal="center" vertical="center" wrapText="1"/>
    </xf>
    <xf numFmtId="0" fontId="17" fillId="2" borderId="2" xfId="0" applyFont="1" applyFill="1" applyBorder="1" applyAlignment="1">
      <alignment vertical="center" wrapText="1"/>
    </xf>
    <xf numFmtId="41" fontId="3" fillId="2" borderId="5" xfId="17"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3" fillId="0" borderId="3" xfId="0" applyFont="1" applyBorder="1" applyAlignment="1">
      <alignment horizontal="left" vertical="center" wrapText="1"/>
    </xf>
    <xf numFmtId="0" fontId="17" fillId="0" borderId="14" xfId="0" applyFont="1" applyBorder="1" applyAlignment="1">
      <alignment vertical="center" wrapText="1"/>
    </xf>
    <xf numFmtId="0" fontId="57" fillId="0" borderId="2" xfId="0" applyFont="1" applyBorder="1" applyAlignment="1">
      <alignment horizontal="center" vertical="center" wrapText="1"/>
    </xf>
    <xf numFmtId="0" fontId="57" fillId="0" borderId="3" xfId="0" applyFont="1" applyBorder="1" applyAlignment="1">
      <alignment horizontal="left" vertical="center" wrapText="1"/>
    </xf>
    <xf numFmtId="0" fontId="57" fillId="2" borderId="2" xfId="0" applyFont="1" applyFill="1" applyBorder="1" applyAlignment="1">
      <alignment horizontal="center" vertical="center" wrapText="1"/>
    </xf>
    <xf numFmtId="0" fontId="57" fillId="2" borderId="2" xfId="0" applyFont="1" applyFill="1" applyBorder="1" applyAlignment="1">
      <alignment horizontal="left" vertical="center" wrapText="1"/>
    </xf>
    <xf numFmtId="0" fontId="58" fillId="0" borderId="14" xfId="0" applyFont="1" applyBorder="1" applyAlignment="1">
      <alignment vertical="center" wrapText="1"/>
    </xf>
    <xf numFmtId="3" fontId="57" fillId="0" borderId="2" xfId="0" applyNumberFormat="1" applyFont="1" applyBorder="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12" fillId="0" borderId="14" xfId="0" applyFont="1" applyBorder="1" applyAlignment="1">
      <alignment vertical="center" wrapText="1"/>
    </xf>
    <xf numFmtId="3" fontId="9" fillId="0" borderId="2" xfId="0" applyNumberFormat="1" applyFont="1" applyBorder="1" applyAlignment="1">
      <alignment vertical="center" wrapText="1"/>
    </xf>
    <xf numFmtId="0" fontId="3" fillId="3" borderId="2" xfId="0" applyFont="1" applyFill="1" applyBorder="1" applyAlignment="1">
      <alignment horizontal="center" vertical="center" wrapText="1"/>
    </xf>
    <xf numFmtId="0" fontId="3" fillId="3" borderId="20" xfId="0" applyFont="1" applyFill="1" applyBorder="1" applyAlignment="1">
      <alignment horizontal="center" vertical="center" wrapText="1"/>
    </xf>
    <xf numFmtId="41" fontId="11" fillId="3" borderId="2" xfId="0" applyNumberFormat="1" applyFont="1" applyFill="1" applyBorder="1" applyAlignment="1">
      <alignment vertical="center" wrapText="1"/>
    </xf>
    <xf numFmtId="3" fontId="3" fillId="4" borderId="2"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0" fontId="58" fillId="0" borderId="2" xfId="0" applyFont="1" applyBorder="1" applyAlignment="1">
      <alignment vertical="center" wrapText="1"/>
    </xf>
    <xf numFmtId="3" fontId="57" fillId="2" borderId="2" xfId="0" applyNumberFormat="1" applyFont="1" applyFill="1" applyBorder="1" applyAlignment="1">
      <alignment vertical="center" wrapText="1"/>
    </xf>
    <xf numFmtId="3" fontId="57" fillId="0" borderId="2" xfId="0" applyNumberFormat="1" applyFont="1" applyBorder="1" applyAlignment="1">
      <alignment horizontal="center" vertical="center" wrapText="1"/>
    </xf>
    <xf numFmtId="0" fontId="12" fillId="0" borderId="2" xfId="0" applyFont="1" applyBorder="1" applyAlignment="1">
      <alignment vertical="center" wrapText="1"/>
    </xf>
    <xf numFmtId="3" fontId="9" fillId="2" borderId="2" xfId="0" applyNumberFormat="1" applyFont="1" applyFill="1" applyBorder="1" applyAlignment="1">
      <alignment vertical="center" wrapText="1"/>
    </xf>
    <xf numFmtId="3" fontId="9" fillId="0" borderId="2" xfId="0" applyNumberFormat="1" applyFont="1" applyBorder="1" applyAlignment="1">
      <alignment horizontal="center" vertical="center" wrapText="1"/>
    </xf>
    <xf numFmtId="41" fontId="3" fillId="0" borderId="0" xfId="0" applyNumberFormat="1" applyFont="1" applyAlignment="1">
      <alignment horizontal="center"/>
    </xf>
    <xf numFmtId="41" fontId="3" fillId="0" borderId="0" xfId="0" applyNumberFormat="1" applyFont="1"/>
    <xf numFmtId="41" fontId="11" fillId="0" borderId="0" xfId="0" applyNumberFormat="1" applyFont="1"/>
    <xf numFmtId="43" fontId="11" fillId="8" borderId="2" xfId="1" applyFont="1" applyFill="1" applyBorder="1" applyAlignment="1">
      <alignment horizontal="center" vertical="center" wrapText="1"/>
    </xf>
    <xf numFmtId="0" fontId="48" fillId="8" borderId="2" xfId="0" applyFont="1" applyFill="1" applyBorder="1" applyAlignment="1">
      <alignment vertical="center" wrapText="1"/>
    </xf>
    <xf numFmtId="3" fontId="47" fillId="8" borderId="2" xfId="0" applyNumberFormat="1" applyFont="1" applyFill="1" applyBorder="1" applyAlignment="1">
      <alignment vertical="center" wrapText="1"/>
    </xf>
    <xf numFmtId="3" fontId="48" fillId="8" borderId="2" xfId="0" applyNumberFormat="1" applyFont="1" applyFill="1" applyBorder="1" applyAlignment="1">
      <alignment vertical="center" wrapText="1"/>
    </xf>
    <xf numFmtId="0" fontId="47" fillId="8" borderId="2" xfId="0" applyFont="1" applyFill="1" applyBorder="1" applyAlignment="1">
      <alignment vertical="center" wrapText="1"/>
    </xf>
    <xf numFmtId="0" fontId="47" fillId="2" borderId="2" xfId="0" applyFont="1" applyFill="1" applyBorder="1" applyAlignment="1">
      <alignment vertical="center" wrapText="1"/>
    </xf>
    <xf numFmtId="0" fontId="3" fillId="2" borderId="0" xfId="0" applyFont="1" applyFill="1" applyAlignment="1">
      <alignment horizontal="center"/>
    </xf>
    <xf numFmtId="0" fontId="11" fillId="2" borderId="2" xfId="0" applyFont="1" applyFill="1" applyBorder="1" applyAlignment="1">
      <alignment vertical="center" wrapText="1"/>
    </xf>
    <xf numFmtId="0" fontId="22" fillId="2" borderId="2" xfId="0" applyFont="1" applyFill="1" applyBorder="1" applyAlignment="1">
      <alignment vertical="center" wrapText="1"/>
    </xf>
    <xf numFmtId="0" fontId="19" fillId="2" borderId="2" xfId="0" applyFont="1" applyFill="1" applyBorder="1" applyAlignment="1">
      <alignment vertical="center" wrapText="1"/>
    </xf>
    <xf numFmtId="0" fontId="3" fillId="2" borderId="2" xfId="0" applyFont="1" applyFill="1" applyBorder="1" applyAlignment="1">
      <alignment vertical="center" wrapText="1"/>
    </xf>
    <xf numFmtId="3" fontId="11" fillId="2" borderId="2" xfId="0" applyNumberFormat="1" applyFont="1" applyFill="1" applyBorder="1" applyAlignment="1">
      <alignment horizontal="center" vertical="center" wrapText="1"/>
    </xf>
    <xf numFmtId="167" fontId="38" fillId="2" borderId="5" xfId="4" applyNumberFormat="1" applyFont="1" applyFill="1" applyBorder="1" applyAlignment="1">
      <alignment horizontal="right" vertical="center" wrapText="1"/>
    </xf>
    <xf numFmtId="168" fontId="3" fillId="2" borderId="2" xfId="0" applyNumberFormat="1" applyFont="1" applyFill="1" applyBorder="1" applyAlignment="1">
      <alignment horizontal="center" vertical="center" wrapText="1"/>
    </xf>
    <xf numFmtId="0" fontId="17" fillId="2" borderId="2" xfId="0" applyFont="1" applyFill="1" applyBorder="1" applyAlignment="1">
      <alignment horizontal="center" vertical="center" wrapText="1"/>
    </xf>
    <xf numFmtId="1" fontId="3" fillId="2" borderId="2" xfId="0" applyNumberFormat="1" applyFont="1" applyFill="1" applyBorder="1" applyAlignment="1">
      <alignment vertical="center" wrapText="1"/>
    </xf>
    <xf numFmtId="168" fontId="3" fillId="2" borderId="2" xfId="0" applyNumberFormat="1" applyFont="1" applyFill="1" applyBorder="1" applyAlignment="1">
      <alignment vertical="center" wrapText="1"/>
    </xf>
    <xf numFmtId="2" fontId="3" fillId="2" borderId="2" xfId="0" applyNumberFormat="1" applyFont="1" applyFill="1" applyBorder="1" applyAlignment="1">
      <alignment vertical="center" wrapText="1"/>
    </xf>
    <xf numFmtId="167" fontId="3" fillId="2" borderId="0" xfId="0" applyNumberFormat="1" applyFont="1" applyFill="1"/>
    <xf numFmtId="3" fontId="22" fillId="2" borderId="2" xfId="0" applyNumberFormat="1" applyFont="1" applyFill="1" applyBorder="1" applyAlignment="1">
      <alignment vertical="center" wrapText="1"/>
    </xf>
    <xf numFmtId="3" fontId="22" fillId="3" borderId="2" xfId="0" applyNumberFormat="1" applyFont="1" applyFill="1" applyBorder="1" applyAlignment="1">
      <alignment vertical="center" wrapText="1"/>
    </xf>
    <xf numFmtId="0" fontId="11" fillId="3" borderId="2" xfId="0" applyFont="1" applyFill="1" applyBorder="1" applyAlignment="1">
      <alignment horizontal="left" vertical="center" wrapText="1"/>
    </xf>
    <xf numFmtId="9" fontId="3" fillId="0" borderId="0" xfId="2" applyFont="1"/>
    <xf numFmtId="0" fontId="22" fillId="2" borderId="2" xfId="0" applyFont="1" applyFill="1" applyBorder="1" applyAlignment="1">
      <alignment horizontal="center" vertical="center" wrapText="1"/>
    </xf>
    <xf numFmtId="0" fontId="22" fillId="3" borderId="2" xfId="0" applyFont="1" applyFill="1" applyBorder="1" applyAlignment="1">
      <alignment horizontal="center" vertical="center" wrapText="1"/>
    </xf>
    <xf numFmtId="3" fontId="22" fillId="3" borderId="2" xfId="0" applyNumberFormat="1" applyFont="1" applyFill="1" applyBorder="1" applyAlignment="1">
      <alignment horizontal="center" vertical="center" wrapText="1"/>
    </xf>
    <xf numFmtId="1" fontId="8" fillId="0" borderId="0" xfId="18" applyNumberFormat="1" applyFont="1" applyAlignment="1">
      <alignment vertical="center"/>
    </xf>
    <xf numFmtId="1" fontId="59" fillId="0" borderId="0" xfId="18" applyNumberFormat="1" applyFont="1" applyAlignment="1">
      <alignment vertical="center"/>
    </xf>
    <xf numFmtId="3" fontId="60" fillId="0" borderId="0" xfId="18" applyNumberFormat="1" applyFont="1" applyAlignment="1">
      <alignment horizontal="center" vertical="center" wrapText="1"/>
    </xf>
    <xf numFmtId="3" fontId="60" fillId="0" borderId="0" xfId="18" applyNumberFormat="1" applyFont="1" applyAlignment="1">
      <alignment vertical="center" wrapText="1"/>
    </xf>
    <xf numFmtId="3" fontId="6" fillId="0" borderId="0" xfId="18" applyNumberFormat="1" applyFont="1" applyAlignment="1">
      <alignment vertical="center" wrapText="1"/>
    </xf>
    <xf numFmtId="1" fontId="61" fillId="0" borderId="0" xfId="18" applyNumberFormat="1" applyFont="1" applyAlignment="1">
      <alignment vertical="center"/>
    </xf>
    <xf numFmtId="1" fontId="60" fillId="0" borderId="0" xfId="18" applyNumberFormat="1" applyFont="1" applyAlignment="1">
      <alignment vertical="center"/>
    </xf>
    <xf numFmtId="1" fontId="60" fillId="0" borderId="0" xfId="18" applyNumberFormat="1" applyFont="1" applyAlignment="1">
      <alignment horizontal="center" vertical="center"/>
    </xf>
    <xf numFmtId="1" fontId="60" fillId="0" borderId="0" xfId="18" applyNumberFormat="1" applyFont="1" applyAlignment="1">
      <alignment vertical="center" wrapText="1"/>
    </xf>
    <xf numFmtId="1" fontId="60" fillId="0" borderId="0" xfId="18" applyNumberFormat="1" applyFont="1" applyAlignment="1">
      <alignment horizontal="center" vertical="center" wrapText="1"/>
    </xf>
    <xf numFmtId="1" fontId="60" fillId="0" borderId="0" xfId="18" applyNumberFormat="1" applyFont="1" applyAlignment="1">
      <alignment horizontal="right" vertical="center"/>
    </xf>
    <xf numFmtId="3" fontId="60" fillId="0" borderId="5" xfId="18" applyNumberFormat="1" applyFont="1" applyBorder="1" applyAlignment="1">
      <alignment horizontal="center" vertical="center" wrapText="1"/>
    </xf>
    <xf numFmtId="3" fontId="6" fillId="0" borderId="5" xfId="18" applyNumberFormat="1" applyFont="1" applyBorder="1" applyAlignment="1">
      <alignment horizontal="center" vertical="center" wrapText="1"/>
    </xf>
    <xf numFmtId="3" fontId="25" fillId="0" borderId="5" xfId="18" applyNumberFormat="1" applyFont="1" applyBorder="1" applyAlignment="1">
      <alignment horizontal="right" vertical="center" wrapText="1"/>
    </xf>
    <xf numFmtId="3" fontId="6" fillId="0" borderId="5" xfId="18" applyNumberFormat="1" applyFont="1" applyBorder="1" applyAlignment="1">
      <alignment horizontal="left" vertical="center" wrapText="1"/>
    </xf>
    <xf numFmtId="3" fontId="21" fillId="0" borderId="5" xfId="18" applyNumberFormat="1" applyFont="1" applyBorder="1" applyAlignment="1">
      <alignment horizontal="right" vertical="center" wrapText="1"/>
    </xf>
    <xf numFmtId="49" fontId="6" fillId="0" borderId="5" xfId="18" applyNumberFormat="1" applyFont="1" applyBorder="1" applyAlignment="1">
      <alignment horizontal="center" vertical="center"/>
    </xf>
    <xf numFmtId="1" fontId="6" fillId="0" borderId="5" xfId="18" applyNumberFormat="1" applyFont="1" applyBorder="1" applyAlignment="1">
      <alignment horizontal="left" vertical="center" wrapText="1"/>
    </xf>
    <xf numFmtId="1" fontId="60" fillId="0" borderId="5" xfId="18" applyNumberFormat="1" applyFont="1" applyBorder="1" applyAlignment="1">
      <alignment vertical="center"/>
    </xf>
    <xf numFmtId="49" fontId="61" fillId="0" borderId="5" xfId="18" applyNumberFormat="1" applyFont="1" applyBorder="1" applyAlignment="1">
      <alignment horizontal="center" vertical="center"/>
    </xf>
    <xf numFmtId="1" fontId="61" fillId="0" borderId="5" xfId="18" applyNumberFormat="1" applyFont="1" applyBorder="1" applyAlignment="1">
      <alignment vertical="center" wrapText="1"/>
    </xf>
    <xf numFmtId="1" fontId="8" fillId="0" borderId="5" xfId="18" applyNumberFormat="1" applyFont="1" applyBorder="1" applyAlignment="1">
      <alignment horizontal="center" vertical="center" wrapText="1"/>
    </xf>
    <xf numFmtId="1" fontId="61" fillId="0" borderId="5" xfId="18" applyNumberFormat="1" applyFont="1" applyBorder="1" applyAlignment="1">
      <alignment horizontal="center" vertical="center" wrapText="1"/>
    </xf>
    <xf numFmtId="1" fontId="24" fillId="0" borderId="5" xfId="18" applyNumberFormat="1" applyFont="1" applyBorder="1" applyAlignment="1">
      <alignment horizontal="right" vertical="center"/>
    </xf>
    <xf numFmtId="49" fontId="60" fillId="0" borderId="5" xfId="18" applyNumberFormat="1" applyFont="1" applyBorder="1" applyAlignment="1">
      <alignment horizontal="center" vertical="center"/>
    </xf>
    <xf numFmtId="1" fontId="60" fillId="0" borderId="5" xfId="18" applyNumberFormat="1" applyFont="1" applyBorder="1" applyAlignment="1">
      <alignment vertical="center" wrapText="1"/>
    </xf>
    <xf numFmtId="1" fontId="60" fillId="0" borderId="5" xfId="18" applyNumberFormat="1" applyFont="1" applyBorder="1" applyAlignment="1">
      <alignment horizontal="center" vertical="center" wrapText="1"/>
    </xf>
    <xf numFmtId="3" fontId="25" fillId="0" borderId="5" xfId="18" applyNumberFormat="1" applyFont="1" applyBorder="1" applyAlignment="1">
      <alignment horizontal="right" vertical="center"/>
    </xf>
    <xf numFmtId="3" fontId="60" fillId="9" borderId="5" xfId="18" applyNumberFormat="1" applyFont="1" applyFill="1" applyBorder="1" applyAlignment="1">
      <alignment horizontal="center" vertical="center" wrapText="1"/>
    </xf>
    <xf numFmtId="3" fontId="21" fillId="9" borderId="5" xfId="18" applyNumberFormat="1" applyFont="1" applyFill="1" applyBorder="1" applyAlignment="1">
      <alignment horizontal="right" vertical="center" wrapText="1"/>
    </xf>
    <xf numFmtId="3" fontId="25" fillId="9" borderId="5" xfId="18" applyNumberFormat="1" applyFont="1" applyFill="1" applyBorder="1" applyAlignment="1">
      <alignment horizontal="right" vertical="center"/>
    </xf>
    <xf numFmtId="3" fontId="23" fillId="0" borderId="5" xfId="18" applyNumberFormat="1" applyFont="1" applyBorder="1" applyAlignment="1">
      <alignment horizontal="right" vertical="center"/>
    </xf>
    <xf numFmtId="3" fontId="23" fillId="9" borderId="5" xfId="18" applyNumberFormat="1" applyFont="1" applyFill="1" applyBorder="1" applyAlignment="1">
      <alignment horizontal="right" vertical="center"/>
    </xf>
    <xf numFmtId="3" fontId="24" fillId="0" borderId="5" xfId="18" applyNumberFormat="1" applyFont="1" applyBorder="1" applyAlignment="1">
      <alignment horizontal="right" vertical="center"/>
    </xf>
    <xf numFmtId="3" fontId="24" fillId="9" borderId="5" xfId="18" applyNumberFormat="1" applyFont="1" applyFill="1" applyBorder="1" applyAlignment="1">
      <alignment horizontal="right" vertical="center"/>
    </xf>
    <xf numFmtId="3" fontId="6" fillId="9" borderId="5" xfId="18" applyNumberFormat="1" applyFont="1" applyFill="1" applyBorder="1" applyAlignment="1">
      <alignment horizontal="center" vertical="center" wrapText="1"/>
    </xf>
    <xf numFmtId="1" fontId="60" fillId="9" borderId="5" xfId="18" applyNumberFormat="1" applyFont="1" applyFill="1" applyBorder="1" applyAlignment="1">
      <alignment horizontal="right" vertical="center"/>
    </xf>
    <xf numFmtId="1" fontId="8" fillId="9" borderId="5" xfId="18" applyNumberFormat="1" applyFont="1" applyFill="1" applyBorder="1" applyAlignment="1">
      <alignment horizontal="right" vertical="center"/>
    </xf>
    <xf numFmtId="1" fontId="61" fillId="9" borderId="5" xfId="18" applyNumberFormat="1" applyFont="1" applyFill="1" applyBorder="1" applyAlignment="1">
      <alignment horizontal="right" vertical="center"/>
    </xf>
    <xf numFmtId="0" fontId="3" fillId="3" borderId="2" xfId="0" applyFont="1" applyFill="1" applyBorder="1" applyAlignment="1">
      <alignment vertical="center" wrapText="1"/>
    </xf>
    <xf numFmtId="3" fontId="3" fillId="3" borderId="2" xfId="0" applyNumberFormat="1" applyFont="1" applyFill="1" applyBorder="1" applyAlignment="1">
      <alignment horizontal="center" vertical="center" wrapText="1"/>
    </xf>
    <xf numFmtId="0" fontId="51" fillId="0" borderId="0" xfId="0" applyFont="1"/>
    <xf numFmtId="0" fontId="51" fillId="0" borderId="2" xfId="0" applyFont="1" applyBorder="1" applyAlignment="1">
      <alignment horizontal="left" vertical="center" wrapText="1"/>
    </xf>
    <xf numFmtId="0" fontId="64" fillId="0" borderId="2" xfId="0" applyFont="1" applyBorder="1" applyAlignment="1">
      <alignment vertical="center" wrapText="1"/>
    </xf>
    <xf numFmtId="0" fontId="51" fillId="0" borderId="2" xfId="0" applyFont="1" applyBorder="1" applyAlignment="1">
      <alignment horizontal="center" vertical="center" wrapText="1"/>
    </xf>
    <xf numFmtId="0" fontId="51" fillId="0" borderId="2" xfId="0" applyFont="1" applyBorder="1" applyAlignment="1">
      <alignment vertical="center" wrapText="1"/>
    </xf>
    <xf numFmtId="0" fontId="65" fillId="0" borderId="2" xfId="0" applyFont="1" applyBorder="1" applyAlignment="1">
      <alignment vertical="center" wrapText="1"/>
    </xf>
    <xf numFmtId="0" fontId="51" fillId="0" borderId="0" xfId="0" applyFont="1" applyAlignment="1">
      <alignment vertical="center" wrapText="1"/>
    </xf>
    <xf numFmtId="0" fontId="54" fillId="8" borderId="2" xfId="0" applyFont="1" applyFill="1" applyBorder="1" applyAlignment="1">
      <alignment horizontal="center" vertical="center" wrapText="1"/>
    </xf>
    <xf numFmtId="0" fontId="56" fillId="4" borderId="2" xfId="0" applyFont="1" applyFill="1" applyBorder="1" applyAlignment="1">
      <alignment horizontal="center" vertical="center" wrapText="1"/>
    </xf>
    <xf numFmtId="0" fontId="48" fillId="4" borderId="2" xfId="0" applyFont="1" applyFill="1" applyBorder="1" applyAlignment="1">
      <alignment vertical="center" wrapText="1"/>
    </xf>
    <xf numFmtId="3" fontId="47" fillId="4" borderId="2" xfId="0" applyNumberFormat="1" applyFont="1" applyFill="1" applyBorder="1" applyAlignment="1">
      <alignment vertical="center" wrapText="1"/>
    </xf>
    <xf numFmtId="3" fontId="51" fillId="0" borderId="2" xfId="0" applyNumberFormat="1" applyFont="1" applyBorder="1" applyAlignment="1">
      <alignment vertical="center" wrapText="1"/>
    </xf>
    <xf numFmtId="3" fontId="51" fillId="8" borderId="2" xfId="0" applyNumberFormat="1" applyFont="1" applyFill="1" applyBorder="1" applyAlignment="1">
      <alignment vertical="center" wrapText="1"/>
    </xf>
    <xf numFmtId="0" fontId="51" fillId="8" borderId="2" xfId="0" applyFont="1" applyFill="1" applyBorder="1" applyAlignment="1">
      <alignment vertical="center" wrapText="1"/>
    </xf>
    <xf numFmtId="3" fontId="51" fillId="4" borderId="2" xfId="0" applyNumberFormat="1" applyFont="1" applyFill="1" applyBorder="1" applyAlignment="1">
      <alignment vertical="center" wrapText="1"/>
    </xf>
    <xf numFmtId="3" fontId="48" fillId="4" borderId="2" xfId="0" applyNumberFormat="1" applyFont="1" applyFill="1" applyBorder="1" applyAlignment="1">
      <alignment vertical="center" wrapText="1"/>
    </xf>
    <xf numFmtId="43" fontId="11" fillId="4" borderId="2" xfId="1" applyFont="1" applyFill="1" applyBorder="1" applyAlignment="1">
      <alignment horizontal="center" vertical="center" wrapText="1"/>
    </xf>
    <xf numFmtId="0" fontId="54" fillId="4" borderId="2" xfId="0" applyFont="1" applyFill="1" applyBorder="1" applyAlignment="1">
      <alignment horizontal="center" vertical="center" wrapText="1"/>
    </xf>
    <xf numFmtId="0" fontId="56" fillId="8" borderId="2" xfId="0" applyFont="1" applyFill="1" applyBorder="1" applyAlignment="1">
      <alignment horizontal="center" vertical="center" wrapText="1"/>
    </xf>
    <xf numFmtId="0" fontId="51" fillId="4" borderId="2" xfId="0" applyFont="1" applyFill="1" applyBorder="1" applyAlignment="1">
      <alignment vertical="center" wrapText="1"/>
    </xf>
    <xf numFmtId="0" fontId="47" fillId="4" borderId="2" xfId="0" applyFont="1" applyFill="1" applyBorder="1" applyAlignment="1">
      <alignment vertical="center" wrapText="1"/>
    </xf>
    <xf numFmtId="3" fontId="48" fillId="0" borderId="2" xfId="0" applyNumberFormat="1" applyFont="1" applyBorder="1" applyAlignment="1">
      <alignment vertical="center" wrapText="1"/>
    </xf>
    <xf numFmtId="0" fontId="66" fillId="4" borderId="2"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51" fillId="2" borderId="2" xfId="0" applyFont="1" applyFill="1" applyBorder="1" applyAlignment="1">
      <alignment vertical="center" wrapText="1"/>
    </xf>
    <xf numFmtId="3" fontId="3" fillId="0" borderId="2" xfId="0" quotePrefix="1" applyNumberFormat="1" applyFont="1" applyBorder="1" applyAlignment="1">
      <alignment horizontal="center" vertical="center" wrapText="1"/>
    </xf>
    <xf numFmtId="3" fontId="60" fillId="9" borderId="5" xfId="18" quotePrefix="1" applyNumberFormat="1" applyFont="1" applyFill="1" applyBorder="1" applyAlignment="1">
      <alignment horizontal="center" vertical="center" wrapText="1"/>
    </xf>
    <xf numFmtId="3" fontId="6" fillId="0" borderId="5" xfId="18" quotePrefix="1" applyNumberFormat="1" applyFont="1" applyBorder="1" applyAlignment="1">
      <alignment horizontal="center" vertical="center" wrapText="1"/>
    </xf>
    <xf numFmtId="0" fontId="38" fillId="0" borderId="5" xfId="0" quotePrefix="1" applyFont="1" applyBorder="1" applyAlignment="1">
      <alignment horizontal="center" vertical="center" wrapText="1"/>
    </xf>
    <xf numFmtId="3" fontId="3" fillId="0" borderId="5" xfId="0" quotePrefix="1" applyNumberFormat="1" applyFont="1" applyBorder="1" applyAlignment="1">
      <alignment horizontal="center" vertical="center" wrapText="1"/>
    </xf>
    <xf numFmtId="0" fontId="76" fillId="0" borderId="0" xfId="0" applyFont="1"/>
    <xf numFmtId="0" fontId="76" fillId="2" borderId="0" xfId="0" applyFont="1" applyFill="1"/>
    <xf numFmtId="0" fontId="12" fillId="0" borderId="20" xfId="0" applyFont="1" applyBorder="1" applyAlignment="1">
      <alignment horizontal="center" vertical="center" wrapText="1"/>
    </xf>
    <xf numFmtId="0" fontId="77" fillId="2" borderId="20" xfId="0" applyFont="1" applyFill="1" applyBorder="1" applyAlignment="1">
      <alignment horizontal="center" vertical="center" wrapText="1"/>
    </xf>
    <xf numFmtId="0" fontId="78" fillId="0" borderId="0" xfId="0" applyFont="1"/>
    <xf numFmtId="0" fontId="79" fillId="0" borderId="5" xfId="0" applyFont="1" applyBorder="1" applyAlignment="1">
      <alignment horizontal="center"/>
    </xf>
    <xf numFmtId="0" fontId="80" fillId="0" borderId="0" xfId="0" applyFont="1"/>
    <xf numFmtId="0" fontId="82" fillId="0" borderId="0" xfId="0" applyFont="1" applyAlignment="1">
      <alignment horizontal="center" vertical="center"/>
    </xf>
    <xf numFmtId="0" fontId="79" fillId="0" borderId="0" xfId="0" applyFont="1" applyAlignment="1">
      <alignment horizontal="center" vertical="center"/>
    </xf>
    <xf numFmtId="0" fontId="83" fillId="0" borderId="25" xfId="0" applyFont="1" applyBorder="1" applyAlignment="1">
      <alignment vertical="center" wrapText="1"/>
    </xf>
    <xf numFmtId="0" fontId="74" fillId="0" borderId="5" xfId="0" applyFont="1" applyBorder="1" applyAlignment="1">
      <alignment horizontal="center" vertical="center" wrapText="1"/>
    </xf>
    <xf numFmtId="0" fontId="84" fillId="0" borderId="5" xfId="0" applyFont="1" applyBorder="1" applyAlignment="1">
      <alignment horizontal="center" vertical="center" wrapText="1"/>
    </xf>
    <xf numFmtId="3" fontId="84" fillId="0" borderId="5" xfId="0" applyNumberFormat="1" applyFont="1" applyBorder="1" applyAlignment="1">
      <alignment horizontal="right" vertical="center" wrapText="1"/>
    </xf>
    <xf numFmtId="0" fontId="75" fillId="0" borderId="5" xfId="0" applyFont="1" applyBorder="1" applyAlignment="1">
      <alignment vertical="center" wrapText="1"/>
    </xf>
    <xf numFmtId="0" fontId="85" fillId="0" borderId="5" xfId="0" applyFont="1" applyBorder="1" applyAlignment="1">
      <alignment horizontal="center" vertical="center" wrapText="1"/>
    </xf>
    <xf numFmtId="0" fontId="85" fillId="0" borderId="5" xfId="0" applyFont="1" applyBorder="1" applyAlignment="1">
      <alignment vertical="center" wrapText="1"/>
    </xf>
    <xf numFmtId="3" fontId="85" fillId="0" borderId="5" xfId="0" applyNumberFormat="1" applyFont="1" applyBorder="1" applyAlignment="1">
      <alignment horizontal="right" vertical="center" wrapText="1"/>
    </xf>
    <xf numFmtId="3" fontId="85" fillId="0" borderId="6" xfId="0" applyNumberFormat="1" applyFont="1" applyBorder="1" applyAlignment="1">
      <alignment horizontal="right" vertical="center" wrapText="1"/>
    </xf>
    <xf numFmtId="3" fontId="87" fillId="0" borderId="5" xfId="0" applyNumberFormat="1" applyFont="1" applyBorder="1" applyAlignment="1">
      <alignment horizontal="right" vertical="center" wrapText="1"/>
    </xf>
    <xf numFmtId="0" fontId="78" fillId="0" borderId="0" xfId="0" applyFont="1" applyAlignment="1">
      <alignment vertical="center"/>
    </xf>
    <xf numFmtId="0" fontId="86" fillId="0" borderId="5" xfId="0" applyFont="1" applyBorder="1" applyAlignment="1">
      <alignment vertical="center" wrapText="1"/>
    </xf>
    <xf numFmtId="0" fontId="86" fillId="0" borderId="5" xfId="0" applyFont="1" applyBorder="1" applyAlignment="1">
      <alignment horizontal="center" vertical="center" wrapText="1"/>
    </xf>
    <xf numFmtId="0" fontId="90" fillId="0" borderId="0" xfId="0" applyFont="1"/>
    <xf numFmtId="1" fontId="91" fillId="2" borderId="5" xfId="18" applyNumberFormat="1" applyFont="1" applyFill="1" applyBorder="1" applyAlignment="1">
      <alignment vertical="center" wrapText="1"/>
    </xf>
    <xf numFmtId="1" fontId="91" fillId="2" borderId="12" xfId="18" applyNumberFormat="1" applyFont="1" applyFill="1" applyBorder="1" applyAlignment="1">
      <alignment vertical="center" wrapText="1"/>
    </xf>
    <xf numFmtId="0" fontId="87" fillId="0" borderId="35" xfId="0" applyFont="1" applyBorder="1" applyAlignment="1">
      <alignment horizontal="center" vertical="center" wrapText="1"/>
    </xf>
    <xf numFmtId="0" fontId="91" fillId="0" borderId="35" xfId="0" applyFont="1" applyBorder="1" applyAlignment="1">
      <alignment horizontal="center" vertical="center" wrapText="1"/>
    </xf>
    <xf numFmtId="0" fontId="91" fillId="0" borderId="30" xfId="0" applyFont="1" applyBorder="1" applyAlignment="1">
      <alignment horizontal="center" vertical="center" wrapText="1"/>
    </xf>
    <xf numFmtId="0" fontId="91" fillId="2" borderId="33" xfId="0" applyFont="1" applyFill="1" applyBorder="1" applyAlignment="1">
      <alignment horizontal="center" vertical="center" wrapText="1"/>
    </xf>
    <xf numFmtId="0" fontId="91" fillId="2" borderId="34" xfId="0" applyFont="1" applyFill="1" applyBorder="1" applyAlignment="1">
      <alignment horizontal="center" vertical="center" wrapText="1"/>
    </xf>
    <xf numFmtId="0" fontId="87" fillId="2" borderId="2" xfId="0" applyFont="1" applyFill="1" applyBorder="1" applyAlignment="1">
      <alignment horizontal="center" vertical="center" wrapText="1"/>
    </xf>
    <xf numFmtId="0" fontId="87" fillId="2" borderId="15" xfId="0" applyFont="1" applyFill="1" applyBorder="1" applyAlignment="1">
      <alignment horizontal="center" vertical="center" wrapText="1"/>
    </xf>
    <xf numFmtId="41" fontId="87" fillId="2" borderId="7" xfId="0" applyNumberFormat="1" applyFont="1" applyFill="1" applyBorder="1" applyAlignment="1">
      <alignment vertical="center" wrapText="1"/>
    </xf>
    <xf numFmtId="41" fontId="87" fillId="2" borderId="5" xfId="0" applyNumberFormat="1" applyFont="1" applyFill="1" applyBorder="1" applyAlignment="1">
      <alignment vertical="center" wrapText="1"/>
    </xf>
    <xf numFmtId="0" fontId="87" fillId="2" borderId="14" xfId="0" applyFont="1" applyFill="1" applyBorder="1" applyAlignment="1">
      <alignment horizontal="center" vertical="center" wrapText="1"/>
    </xf>
    <xf numFmtId="1" fontId="87" fillId="2" borderId="5" xfId="18" applyNumberFormat="1" applyFont="1" applyFill="1" applyBorder="1" applyAlignment="1">
      <alignment vertical="center" wrapText="1"/>
    </xf>
    <xf numFmtId="0" fontId="91" fillId="0" borderId="20" xfId="0" applyFont="1" applyBorder="1" applyAlignment="1">
      <alignment horizontal="center" vertical="center" wrapText="1"/>
    </xf>
    <xf numFmtId="0" fontId="91" fillId="2" borderId="36" xfId="0" applyFont="1" applyFill="1" applyBorder="1" applyAlignment="1">
      <alignment horizontal="center" vertical="center" wrapText="1"/>
    </xf>
    <xf numFmtId="0" fontId="92" fillId="0" borderId="0" xfId="0" applyFont="1"/>
    <xf numFmtId="41" fontId="91" fillId="0" borderId="35" xfId="0" applyNumberFormat="1" applyFont="1" applyBorder="1" applyAlignment="1">
      <alignment horizontal="center" vertical="center" wrapText="1"/>
    </xf>
    <xf numFmtId="0" fontId="91" fillId="2" borderId="19" xfId="0" applyFont="1" applyFill="1" applyBorder="1" applyAlignment="1">
      <alignment horizontal="center" vertical="center" wrapText="1"/>
    </xf>
    <xf numFmtId="3" fontId="91" fillId="0" borderId="35" xfId="0" applyNumberFormat="1" applyFont="1" applyBorder="1" applyAlignment="1">
      <alignment horizontal="right" vertical="center" wrapText="1"/>
    </xf>
    <xf numFmtId="0" fontId="81" fillId="0" borderId="0" xfId="0" applyFont="1" applyAlignment="1">
      <alignment horizontal="center" vertical="center"/>
    </xf>
    <xf numFmtId="1" fontId="82" fillId="0" borderId="0" xfId="0" applyNumberFormat="1" applyFont="1" applyAlignment="1">
      <alignment horizontal="center" vertical="center"/>
    </xf>
    <xf numFmtId="0" fontId="82" fillId="0" borderId="0" xfId="0" applyFont="1" applyAlignment="1">
      <alignment horizontal="center" vertical="center"/>
    </xf>
    <xf numFmtId="0" fontId="83" fillId="0" borderId="25" xfId="0" applyFont="1" applyBorder="1" applyAlignment="1">
      <alignment horizontal="center" vertical="center" wrapText="1"/>
    </xf>
    <xf numFmtId="0" fontId="79" fillId="0" borderId="6" xfId="0" applyFont="1" applyBorder="1" applyAlignment="1">
      <alignment horizontal="center" vertical="center" wrapText="1"/>
    </xf>
    <xf numFmtId="0" fontId="79" fillId="0" borderId="12" xfId="0" applyFont="1" applyBorder="1" applyAlignment="1">
      <alignment horizontal="center" vertical="center" wrapText="1"/>
    </xf>
    <xf numFmtId="0" fontId="49" fillId="0" borderId="0" xfId="0" applyFont="1" applyAlignment="1">
      <alignment horizontal="center" wrapText="1"/>
    </xf>
    <xf numFmtId="0" fontId="50" fillId="0" borderId="0" xfId="0" applyFont="1" applyAlignment="1">
      <alignment wrapText="1"/>
    </xf>
    <xf numFmtId="0" fontId="51" fillId="0" borderId="1" xfId="0" applyFont="1" applyBorder="1" applyAlignment="1">
      <alignment horizontal="right" wrapText="1"/>
    </xf>
    <xf numFmtId="0" fontId="52" fillId="0" borderId="1" xfId="0" applyFont="1" applyBorder="1" applyAlignment="1">
      <alignment horizontal="right" wrapText="1"/>
    </xf>
    <xf numFmtId="0" fontId="11" fillId="2" borderId="2" xfId="0" applyFont="1" applyFill="1" applyBorder="1" applyAlignment="1">
      <alignment horizontal="center" vertical="center" wrapText="1"/>
    </xf>
    <xf numFmtId="43" fontId="11" fillId="2" borderId="3" xfId="1" applyFont="1" applyFill="1" applyBorder="1" applyAlignment="1">
      <alignment horizontal="center" vertical="center" wrapText="1"/>
    </xf>
    <xf numFmtId="43" fontId="11" fillId="2" borderId="15" xfId="1"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43" fontId="11" fillId="8" borderId="2" xfId="1" applyFont="1" applyFill="1" applyBorder="1" applyAlignment="1">
      <alignment horizontal="center" vertical="center" wrapText="1"/>
    </xf>
    <xf numFmtId="43" fontId="11" fillId="4" borderId="2" xfId="1" applyFont="1" applyFill="1" applyBorder="1" applyAlignment="1">
      <alignment horizontal="center" vertical="center" wrapText="1"/>
    </xf>
    <xf numFmtId="43" fontId="53" fillId="4" borderId="2" xfId="1" applyFont="1" applyFill="1" applyBorder="1" applyAlignment="1">
      <alignment horizontal="center" vertical="center" wrapText="1"/>
    </xf>
    <xf numFmtId="43" fontId="11" fillId="4" borderId="16" xfId="1" applyFont="1" applyFill="1" applyBorder="1" applyAlignment="1">
      <alignment horizontal="center" vertical="center" wrapText="1"/>
    </xf>
    <xf numFmtId="43" fontId="11" fillId="4" borderId="17" xfId="1" applyFont="1" applyFill="1" applyBorder="1" applyAlignment="1">
      <alignment horizontal="center" vertical="center" wrapText="1"/>
    </xf>
    <xf numFmtId="43" fontId="11" fillId="4" borderId="20" xfId="1" applyFont="1" applyFill="1" applyBorder="1" applyAlignment="1">
      <alignment horizontal="center" vertical="center" wrapText="1"/>
    </xf>
    <xf numFmtId="43" fontId="11" fillId="2" borderId="2" xfId="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5" xfId="0" applyFont="1" applyFill="1" applyBorder="1" applyAlignment="1">
      <alignment horizontal="center" vertical="center" wrapText="1"/>
    </xf>
    <xf numFmtId="43" fontId="53" fillId="8" borderId="2" xfId="1" applyFont="1" applyFill="1" applyBorder="1" applyAlignment="1">
      <alignment horizontal="center" vertical="center" wrapText="1"/>
    </xf>
    <xf numFmtId="43" fontId="11" fillId="8" borderId="16" xfId="1" applyFont="1" applyFill="1" applyBorder="1" applyAlignment="1">
      <alignment horizontal="center" vertical="center" wrapText="1"/>
    </xf>
    <xf numFmtId="43" fontId="11" fillId="8" borderId="17" xfId="1" applyFont="1" applyFill="1" applyBorder="1" applyAlignment="1">
      <alignment horizontal="center" vertical="center" wrapText="1"/>
    </xf>
    <xf numFmtId="43" fontId="11" fillId="8" borderId="20" xfId="1" applyFont="1" applyFill="1" applyBorder="1" applyAlignment="1">
      <alignment horizontal="center" vertical="center" wrapText="1"/>
    </xf>
    <xf numFmtId="43" fontId="53" fillId="2" borderId="2" xfId="1" applyFont="1" applyFill="1" applyBorder="1" applyAlignment="1">
      <alignment horizontal="center" vertical="center" wrapText="1"/>
    </xf>
    <xf numFmtId="0" fontId="53" fillId="2" borderId="2" xfId="0" applyFont="1" applyFill="1" applyBorder="1" applyAlignment="1">
      <alignment horizontal="center" vertical="center" wrapText="1"/>
    </xf>
    <xf numFmtId="0" fontId="26" fillId="0" borderId="0" xfId="0" applyFont="1" applyAlignment="1">
      <alignment horizontal="center" wrapText="1"/>
    </xf>
    <xf numFmtId="0" fontId="27" fillId="0" borderId="0" xfId="0" applyFont="1" applyAlignment="1">
      <alignment wrapText="1"/>
    </xf>
    <xf numFmtId="0" fontId="15" fillId="0" borderId="0" xfId="0" applyFont="1" applyAlignment="1">
      <alignment wrapText="1"/>
    </xf>
    <xf numFmtId="0" fontId="9" fillId="0" borderId="1" xfId="0" applyFont="1" applyBorder="1" applyAlignment="1">
      <alignment horizontal="right" wrapText="1"/>
    </xf>
    <xf numFmtId="0" fontId="10" fillId="0" borderId="1" xfId="0" applyFont="1" applyBorder="1" applyAlignment="1">
      <alignment horizontal="right" wrapText="1"/>
    </xf>
    <xf numFmtId="0" fontId="15" fillId="0" borderId="1" xfId="0" applyFont="1" applyBorder="1" applyAlignment="1">
      <alignment wrapText="1"/>
    </xf>
    <xf numFmtId="49" fontId="11" fillId="2" borderId="3" xfId="0" applyNumberFormat="1" applyFont="1" applyFill="1" applyBorder="1" applyAlignment="1">
      <alignment horizontal="center" vertical="center" wrapText="1"/>
    </xf>
    <xf numFmtId="0" fontId="15" fillId="0" borderId="15" xfId="0" applyFont="1" applyBorder="1" applyAlignment="1">
      <alignment horizontal="center" vertical="center" wrapText="1"/>
    </xf>
    <xf numFmtId="49" fontId="11" fillId="2" borderId="16" xfId="0" applyNumberFormat="1" applyFont="1" applyFill="1" applyBorder="1" applyAlignment="1">
      <alignment horizontal="center" vertical="center" wrapText="1"/>
    </xf>
    <xf numFmtId="0" fontId="15" fillId="0" borderId="17" xfId="0" applyFont="1" applyBorder="1" applyAlignment="1">
      <alignment horizontal="center" vertical="center" wrapText="1"/>
    </xf>
    <xf numFmtId="0" fontId="15" fillId="0" borderId="20" xfId="0" applyFont="1" applyBorder="1" applyAlignment="1">
      <alignment horizontal="center" vertical="center" wrapText="1"/>
    </xf>
    <xf numFmtId="1" fontId="26" fillId="0" borderId="0" xfId="18" applyNumberFormat="1" applyFont="1" applyAlignment="1">
      <alignment horizontal="center" vertical="center" wrapText="1"/>
    </xf>
    <xf numFmtId="1" fontId="62" fillId="0" borderId="0" xfId="18" applyNumberFormat="1" applyFont="1" applyAlignment="1">
      <alignment horizontal="center" vertical="center" wrapText="1"/>
    </xf>
    <xf numFmtId="1" fontId="63" fillId="0" borderId="25" xfId="18" applyNumberFormat="1" applyFont="1" applyBorder="1" applyAlignment="1">
      <alignment horizontal="right" vertical="center"/>
    </xf>
    <xf numFmtId="3" fontId="60" fillId="0" borderId="7" xfId="18" applyNumberFormat="1" applyFont="1" applyBorder="1" applyAlignment="1">
      <alignment horizontal="center" vertical="center" wrapText="1"/>
    </xf>
    <xf numFmtId="3" fontId="60" fillId="0" borderId="8" xfId="18" applyNumberFormat="1" applyFont="1" applyBorder="1" applyAlignment="1">
      <alignment horizontal="center" vertical="center" wrapText="1"/>
    </xf>
    <xf numFmtId="3" fontId="60" fillId="0" borderId="21" xfId="18" applyNumberFormat="1" applyFont="1" applyBorder="1" applyAlignment="1">
      <alignment horizontal="center" vertical="center" wrapText="1"/>
    </xf>
    <xf numFmtId="3" fontId="60" fillId="0" borderId="5" xfId="18" applyNumberFormat="1" applyFont="1" applyBorder="1" applyAlignment="1">
      <alignment horizontal="center" vertical="center" wrapText="1"/>
    </xf>
    <xf numFmtId="3" fontId="8" fillId="0" borderId="5" xfId="18" applyNumberFormat="1" applyFont="1" applyBorder="1" applyAlignment="1">
      <alignment horizontal="left" vertical="center" wrapText="1"/>
    </xf>
    <xf numFmtId="3" fontId="8" fillId="9" borderId="5" xfId="18" applyNumberFormat="1" applyFont="1" applyFill="1" applyBorder="1" applyAlignment="1">
      <alignment horizontal="left" vertical="center" wrapText="1"/>
    </xf>
    <xf numFmtId="3" fontId="60" fillId="9" borderId="5" xfId="18" applyNumberFormat="1" applyFont="1" applyFill="1" applyBorder="1" applyAlignment="1">
      <alignment horizontal="center" vertical="center" wrapText="1"/>
    </xf>
    <xf numFmtId="3" fontId="60" fillId="9" borderId="6" xfId="18" applyNumberFormat="1" applyFont="1" applyFill="1" applyBorder="1" applyAlignment="1">
      <alignment horizontal="center" vertical="center" wrapText="1"/>
    </xf>
    <xf numFmtId="3" fontId="60" fillId="9" borderId="10" xfId="18" applyNumberFormat="1" applyFont="1" applyFill="1" applyBorder="1" applyAlignment="1">
      <alignment horizontal="center" vertical="center" wrapText="1"/>
    </xf>
    <xf numFmtId="3" fontId="60" fillId="9" borderId="12" xfId="18" applyNumberFormat="1" applyFont="1" applyFill="1" applyBorder="1" applyAlignment="1">
      <alignment horizontal="center" vertical="center" wrapText="1"/>
    </xf>
    <xf numFmtId="3" fontId="60" fillId="0" borderId="6" xfId="18" applyNumberFormat="1" applyFont="1" applyBorder="1" applyAlignment="1">
      <alignment horizontal="center" vertical="center" wrapText="1"/>
    </xf>
    <xf numFmtId="3" fontId="60" fillId="0" borderId="10" xfId="18" applyNumberFormat="1" applyFont="1" applyBorder="1" applyAlignment="1">
      <alignment horizontal="center" vertical="center" wrapText="1"/>
    </xf>
    <xf numFmtId="3" fontId="60" fillId="0" borderId="12" xfId="18" applyNumberFormat="1" applyFont="1" applyBorder="1" applyAlignment="1">
      <alignment horizontal="center" vertical="center" wrapText="1"/>
    </xf>
    <xf numFmtId="3" fontId="60" fillId="0" borderId="22" xfId="18" applyNumberFormat="1" applyFont="1" applyBorder="1" applyAlignment="1">
      <alignment horizontal="center" vertical="center" wrapText="1"/>
    </xf>
    <xf numFmtId="3" fontId="60" fillId="0" borderId="23" xfId="18" applyNumberFormat="1" applyFont="1" applyBorder="1" applyAlignment="1">
      <alignment horizontal="center" vertical="center" wrapText="1"/>
    </xf>
    <xf numFmtId="3" fontId="60" fillId="0" borderId="26" xfId="18" applyNumberFormat="1" applyFont="1" applyBorder="1" applyAlignment="1">
      <alignment horizontal="center" vertical="center" wrapText="1"/>
    </xf>
    <xf numFmtId="3" fontId="60" fillId="0" borderId="25" xfId="18" applyNumberFormat="1" applyFont="1" applyBorder="1" applyAlignment="1">
      <alignment horizontal="center" vertical="center" wrapText="1"/>
    </xf>
    <xf numFmtId="3" fontId="60" fillId="9" borderId="22" xfId="18" applyNumberFormat="1" applyFont="1" applyFill="1" applyBorder="1" applyAlignment="1">
      <alignment horizontal="center" vertical="center" wrapText="1"/>
    </xf>
    <xf numFmtId="3" fontId="60" fillId="9" borderId="23" xfId="18" applyNumberFormat="1" applyFont="1" applyFill="1" applyBorder="1" applyAlignment="1">
      <alignment horizontal="center" vertical="center" wrapText="1"/>
    </xf>
    <xf numFmtId="3" fontId="60" fillId="9" borderId="24" xfId="18" applyNumberFormat="1" applyFont="1" applyFill="1" applyBorder="1" applyAlignment="1">
      <alignment horizontal="center" vertical="center" wrapText="1"/>
    </xf>
    <xf numFmtId="3" fontId="60" fillId="9" borderId="26" xfId="18" applyNumberFormat="1" applyFont="1" applyFill="1" applyBorder="1" applyAlignment="1">
      <alignment horizontal="center" vertical="center" wrapText="1"/>
    </xf>
    <xf numFmtId="3" fontId="60" fillId="9" borderId="25" xfId="18" applyNumberFormat="1" applyFont="1" applyFill="1" applyBorder="1" applyAlignment="1">
      <alignment horizontal="center" vertical="center" wrapText="1"/>
    </xf>
    <xf numFmtId="3" fontId="60" fillId="9" borderId="28" xfId="18" applyNumberFormat="1" applyFont="1" applyFill="1" applyBorder="1" applyAlignment="1">
      <alignment horizontal="center" vertical="center" wrapText="1"/>
    </xf>
    <xf numFmtId="49" fontId="19" fillId="2" borderId="2" xfId="0" applyNumberFormat="1" applyFont="1" applyFill="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26" fillId="2" borderId="0" xfId="0" applyFont="1" applyFill="1" applyAlignment="1">
      <alignment horizontal="center" vertical="center" wrapText="1"/>
    </xf>
    <xf numFmtId="0" fontId="27" fillId="2" borderId="0" xfId="0" applyFont="1" applyFill="1" applyAlignment="1">
      <alignment vertical="center" wrapText="1"/>
    </xf>
    <xf numFmtId="0" fontId="9" fillId="2" borderId="1" xfId="0" applyFont="1" applyFill="1" applyBorder="1" applyAlignment="1">
      <alignment horizontal="right" wrapText="1"/>
    </xf>
    <xf numFmtId="0" fontId="10" fillId="2" borderId="1" xfId="0" applyFont="1" applyFill="1" applyBorder="1" applyAlignment="1">
      <alignment horizontal="right" wrapText="1"/>
    </xf>
    <xf numFmtId="43" fontId="11" fillId="2" borderId="16" xfId="1" applyFont="1" applyFill="1" applyBorder="1" applyAlignment="1">
      <alignment horizontal="center" vertical="center" wrapText="1"/>
    </xf>
    <xf numFmtId="43" fontId="11" fillId="2" borderId="17" xfId="1" applyFont="1" applyFill="1" applyBorder="1" applyAlignment="1">
      <alignment horizontal="center" vertical="center" wrapText="1"/>
    </xf>
    <xf numFmtId="43" fontId="11" fillId="2" borderId="20" xfId="1" applyFont="1" applyFill="1" applyBorder="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vertical="center" wrapText="1"/>
    </xf>
    <xf numFmtId="49" fontId="11" fillId="2" borderId="17" xfId="0" applyNumberFormat="1" applyFont="1" applyFill="1" applyBorder="1" applyAlignment="1">
      <alignment horizontal="center" vertical="center" wrapText="1"/>
    </xf>
    <xf numFmtId="49" fontId="11" fillId="2" borderId="20" xfId="0" applyNumberFormat="1" applyFont="1"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vertical="center" wrapText="1"/>
    </xf>
    <xf numFmtId="0" fontId="15" fillId="0" borderId="0" xfId="0" applyFont="1" applyAlignment="1">
      <alignment vertical="center" wrapText="1"/>
    </xf>
    <xf numFmtId="0" fontId="11" fillId="4" borderId="3"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11" fillId="4" borderId="13" xfId="0" applyFont="1" applyFill="1" applyBorder="1" applyAlignment="1">
      <alignment horizontal="left" vertical="center" wrapText="1"/>
    </xf>
    <xf numFmtId="0" fontId="0" fillId="0" borderId="0" xfId="0" applyAlignment="1">
      <alignment vertical="center" wrapText="1"/>
    </xf>
    <xf numFmtId="0" fontId="45" fillId="0" borderId="25" xfId="0" applyFont="1" applyBorder="1" applyAlignment="1">
      <alignment horizontal="center" vertical="center"/>
    </xf>
    <xf numFmtId="0" fontId="11" fillId="7" borderId="9" xfId="0" applyFont="1" applyFill="1" applyBorder="1" applyAlignment="1">
      <alignment horizontal="left" vertical="center" wrapText="1"/>
    </xf>
    <xf numFmtId="0" fontId="11" fillId="7" borderId="0" xfId="0" applyFont="1" applyFill="1" applyAlignment="1">
      <alignment horizontal="left" vertical="center" wrapText="1"/>
    </xf>
    <xf numFmtId="0" fontId="11" fillId="7" borderId="27" xfId="0" applyFont="1" applyFill="1" applyBorder="1" applyAlignment="1">
      <alignment horizontal="left" vertical="center" wrapText="1"/>
    </xf>
    <xf numFmtId="0" fontId="11" fillId="7" borderId="29" xfId="0" applyFont="1" applyFill="1" applyBorder="1" applyAlignment="1">
      <alignment horizontal="left" vertical="center" wrapText="1"/>
    </xf>
    <xf numFmtId="0" fontId="11" fillId="7" borderId="25" xfId="0" applyFont="1" applyFill="1" applyBorder="1" applyAlignment="1">
      <alignment horizontal="left" vertical="center" wrapText="1"/>
    </xf>
    <xf numFmtId="0" fontId="11" fillId="7" borderId="28" xfId="0" applyFont="1" applyFill="1" applyBorder="1" applyAlignment="1">
      <alignment horizontal="left" vertical="center" wrapText="1"/>
    </xf>
    <xf numFmtId="0" fontId="9" fillId="0" borderId="0" xfId="0" applyFont="1" applyAlignment="1">
      <alignment horizontal="right" wrapText="1"/>
    </xf>
    <xf numFmtId="0" fontId="10" fillId="0" borderId="0" xfId="0" applyFont="1" applyAlignment="1">
      <alignment horizontal="right" wrapText="1"/>
    </xf>
    <xf numFmtId="49" fontId="11" fillId="2" borderId="5" xfId="0" applyNumberFormat="1" applyFont="1" applyFill="1" applyBorder="1" applyAlignment="1">
      <alignment horizontal="center" vertical="center" wrapText="1"/>
    </xf>
    <xf numFmtId="0" fontId="11" fillId="3"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43" fontId="11" fillId="2" borderId="5" xfId="1" applyFont="1" applyFill="1" applyBorder="1" applyAlignment="1">
      <alignment horizontal="center" vertical="center" wrapText="1"/>
    </xf>
    <xf numFmtId="0" fontId="11" fillId="7" borderId="5" xfId="0" applyFont="1" applyFill="1" applyBorder="1" applyAlignment="1">
      <alignment horizontal="left" vertical="center" wrapText="1"/>
    </xf>
    <xf numFmtId="0" fontId="11" fillId="4" borderId="5" xfId="0" applyFont="1" applyFill="1" applyBorder="1" applyAlignment="1">
      <alignment horizontal="left" vertical="center" wrapText="1"/>
    </xf>
    <xf numFmtId="49" fontId="11" fillId="2" borderId="4" xfId="0" applyNumberFormat="1" applyFont="1" applyFill="1" applyBorder="1" applyAlignment="1">
      <alignment horizontal="center" vertical="center" wrapText="1"/>
    </xf>
    <xf numFmtId="49" fontId="11" fillId="2" borderId="9" xfId="0" applyNumberFormat="1" applyFont="1" applyFill="1" applyBorder="1" applyAlignment="1">
      <alignment horizontal="center" vertical="center" wrapText="1"/>
    </xf>
    <xf numFmtId="49" fontId="11" fillId="2" borderId="11" xfId="0" applyNumberFormat="1" applyFont="1" applyFill="1" applyBorder="1" applyAlignment="1">
      <alignment horizontal="center" vertical="center" wrapText="1"/>
    </xf>
    <xf numFmtId="49" fontId="11" fillId="2" borderId="14" xfId="0" applyNumberFormat="1" applyFont="1" applyFill="1" applyBorder="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vertical="center" wrapText="1"/>
    </xf>
    <xf numFmtId="0" fontId="41" fillId="0" borderId="0" xfId="0" applyFont="1" applyAlignment="1">
      <alignment vertical="center" wrapText="1"/>
    </xf>
    <xf numFmtId="0" fontId="30" fillId="0" borderId="1" xfId="0" applyFont="1" applyBorder="1" applyAlignment="1">
      <alignment horizontal="right" wrapText="1"/>
    </xf>
    <xf numFmtId="0" fontId="31" fillId="0" borderId="1" xfId="0" applyFont="1" applyBorder="1" applyAlignment="1">
      <alignment horizontal="right" wrapText="1"/>
    </xf>
    <xf numFmtId="0" fontId="31" fillId="0" borderId="0" xfId="0" applyFont="1" applyAlignment="1">
      <alignment horizontal="right" wrapText="1"/>
    </xf>
    <xf numFmtId="0" fontId="42" fillId="0" borderId="1" xfId="0" applyFont="1" applyBorder="1" applyAlignment="1">
      <alignment wrapText="1"/>
    </xf>
    <xf numFmtId="0" fontId="2" fillId="2" borderId="2" xfId="0"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3" fontId="2" fillId="2" borderId="2" xfId="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14" fillId="0" borderId="0" xfId="0" applyFont="1" applyAlignment="1">
      <alignment vertical="center" wrapText="1"/>
    </xf>
    <xf numFmtId="1" fontId="8" fillId="0" borderId="0" xfId="0" applyNumberFormat="1" applyFont="1" applyAlignment="1">
      <alignment horizontal="center" vertical="center" wrapText="1"/>
    </xf>
    <xf numFmtId="0" fontId="8" fillId="0" borderId="0" xfId="0" applyFont="1" applyAlignment="1">
      <alignment horizontal="center" vertical="center" wrapText="1"/>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wrapText="1"/>
    </xf>
    <xf numFmtId="49" fontId="11" fillId="2" borderId="24" xfId="0" applyNumberFormat="1" applyFont="1" applyFill="1" applyBorder="1" applyAlignment="1">
      <alignment horizontal="center" vertical="center" wrapText="1"/>
    </xf>
    <xf numFmtId="1" fontId="11" fillId="2" borderId="5" xfId="0" applyNumberFormat="1" applyFont="1" applyFill="1" applyBorder="1" applyAlignment="1">
      <alignment horizontal="center" vertical="center" wrapText="1"/>
    </xf>
    <xf numFmtId="49" fontId="11" fillId="2" borderId="6" xfId="0" applyNumberFormat="1" applyFont="1" applyFill="1" applyBorder="1" applyAlignment="1">
      <alignment horizontal="center" vertical="center" wrapText="1"/>
    </xf>
    <xf numFmtId="49" fontId="11" fillId="2" borderId="10" xfId="0" applyNumberFormat="1" applyFont="1" applyFill="1" applyBorder="1" applyAlignment="1">
      <alignment horizontal="center" vertical="center" wrapText="1"/>
    </xf>
    <xf numFmtId="49" fontId="11" fillId="2" borderId="12" xfId="0" applyNumberFormat="1" applyFont="1" applyFill="1" applyBorder="1" applyAlignment="1">
      <alignment horizontal="center" vertical="center" wrapText="1"/>
    </xf>
    <xf numFmtId="0" fontId="87" fillId="0" borderId="5" xfId="0" applyFont="1" applyBorder="1" applyAlignment="1">
      <alignment horizontal="center" vertical="center" wrapText="1"/>
    </xf>
    <xf numFmtId="49" fontId="73" fillId="2" borderId="5" xfId="0" applyNumberFormat="1" applyFont="1" applyFill="1" applyBorder="1" applyAlignment="1">
      <alignment horizontal="center" vertical="center" wrapText="1"/>
    </xf>
    <xf numFmtId="0" fontId="88" fillId="0" borderId="0" xfId="0" applyFont="1" applyAlignment="1">
      <alignment horizontal="center" vertical="center" wrapText="1"/>
    </xf>
    <xf numFmtId="1" fontId="89" fillId="0" borderId="0" xfId="0" applyNumberFormat="1" applyFont="1" applyAlignment="1">
      <alignment horizontal="center" vertical="center" wrapText="1"/>
    </xf>
    <xf numFmtId="49" fontId="73" fillId="2" borderId="6" xfId="0" applyNumberFormat="1" applyFont="1" applyFill="1" applyBorder="1" applyAlignment="1">
      <alignment horizontal="center" vertical="center" wrapText="1"/>
    </xf>
    <xf numFmtId="49" fontId="73" fillId="2" borderId="10" xfId="0" applyNumberFormat="1" applyFont="1" applyFill="1" applyBorder="1" applyAlignment="1">
      <alignment horizontal="center" vertical="center" wrapText="1"/>
    </xf>
    <xf numFmtId="49" fontId="73" fillId="2" borderId="12" xfId="0" applyNumberFormat="1" applyFont="1" applyFill="1" applyBorder="1" applyAlignment="1">
      <alignment horizontal="center" vertical="center" wrapText="1"/>
    </xf>
    <xf numFmtId="0" fontId="73" fillId="2" borderId="6" xfId="0" applyFont="1" applyFill="1" applyBorder="1" applyAlignment="1">
      <alignment horizontal="center" vertical="center" wrapText="1"/>
    </xf>
    <xf numFmtId="0" fontId="73" fillId="2" borderId="10" xfId="0" applyFont="1" applyFill="1" applyBorder="1" applyAlignment="1">
      <alignment horizontal="center" vertical="center" wrapText="1"/>
    </xf>
    <xf numFmtId="0" fontId="73" fillId="2" borderId="12" xfId="0" applyFont="1" applyFill="1" applyBorder="1" applyAlignment="1">
      <alignment horizontal="center" vertical="center" wrapText="1"/>
    </xf>
  </cellXfs>
  <cellStyles count="19">
    <cellStyle name="Comma" xfId="1" builtinId="3"/>
    <cellStyle name="Comma 2" xfId="3" xr:uid="{00000000-0005-0000-0000-000031000000}"/>
    <cellStyle name="Comma 2 28" xfId="4" xr:uid="{00000000-0005-0000-0000-000032000000}"/>
    <cellStyle name="Comma 2 4" xfId="5" xr:uid="{00000000-0005-0000-0000-000033000000}"/>
    <cellStyle name="Excel Built-in Normal" xfId="6" xr:uid="{00000000-0005-0000-0000-000034000000}"/>
    <cellStyle name="Excel Built-in Normal 2" xfId="7" xr:uid="{00000000-0005-0000-0000-000035000000}"/>
    <cellStyle name="Hyperlink 2" xfId="8" xr:uid="{00000000-0005-0000-0000-000036000000}"/>
    <cellStyle name="Normal" xfId="0" builtinId="0"/>
    <cellStyle name="Normal - Style1" xfId="9" xr:uid="{00000000-0005-0000-0000-000037000000}"/>
    <cellStyle name="Normal 10 2 2" xfId="10" xr:uid="{00000000-0005-0000-0000-000038000000}"/>
    <cellStyle name="Normal 17" xfId="11" xr:uid="{00000000-0005-0000-0000-000039000000}"/>
    <cellStyle name="Normal 2" xfId="12" xr:uid="{00000000-0005-0000-0000-00003A000000}"/>
    <cellStyle name="Normal 2 3" xfId="13" xr:uid="{00000000-0005-0000-0000-00003B000000}"/>
    <cellStyle name="Normal 3 2 2 2" xfId="14" xr:uid="{00000000-0005-0000-0000-00003C000000}"/>
    <cellStyle name="Normal 5" xfId="15" xr:uid="{00000000-0005-0000-0000-00003D000000}"/>
    <cellStyle name="Normal 6" xfId="16" xr:uid="{00000000-0005-0000-0000-00003E000000}"/>
    <cellStyle name="Normal 70 3" xfId="17" xr:uid="{00000000-0005-0000-0000-00003F000000}"/>
    <cellStyle name="Normal_Bieu mau (CV )" xfId="18" xr:uid="{00000000-0005-0000-0000-000040000000}"/>
    <cellStyle name="Percent" xfId="2" builtinId="5"/>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36"/>
  <sheetViews>
    <sheetView zoomScale="40" zoomScaleNormal="40" workbookViewId="0">
      <selection activeCell="E34" sqref="E34"/>
    </sheetView>
  </sheetViews>
  <sheetFormatPr defaultColWidth="9.1796875" defaultRowHeight="15.5"/>
  <cols>
    <col min="1" max="1" width="6.7265625" style="294" customWidth="1"/>
    <col min="2" max="2" width="11.81640625" style="295" customWidth="1"/>
    <col min="3" max="3" width="10.7265625" style="295" customWidth="1"/>
    <col min="4" max="4" width="10.26953125" style="294" customWidth="1"/>
    <col min="5" max="5" width="26.7265625" style="295" customWidth="1"/>
    <col min="6" max="6" width="12.54296875" style="295" customWidth="1"/>
    <col min="7" max="9" width="10.7265625" style="295" customWidth="1"/>
    <col min="10" max="10" width="13.7265625" style="294" customWidth="1"/>
    <col min="11" max="12" width="10.7265625" style="294" customWidth="1"/>
    <col min="13" max="13" width="12.1796875" style="295" customWidth="1"/>
    <col min="14" max="15" width="10.7265625" style="295" customWidth="1"/>
    <col min="16" max="16" width="10.7265625" style="294" customWidth="1"/>
    <col min="17" max="18" width="10.7265625" style="295" customWidth="1"/>
    <col min="19" max="22" width="13.7265625" style="295" customWidth="1"/>
    <col min="23" max="24" width="12.1796875" style="295" customWidth="1"/>
    <col min="25" max="27" width="11.7265625" style="295" customWidth="1"/>
    <col min="28" max="42" width="10.7265625" style="295" customWidth="1"/>
    <col min="43" max="43" width="16.7265625" style="292" customWidth="1"/>
    <col min="44" max="16384" width="9.1796875" style="295"/>
  </cols>
  <sheetData>
    <row r="1" spans="1:43" ht="41.25" customHeight="1">
      <c r="A1" s="489" t="s">
        <v>0</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490"/>
      <c r="AK1" s="490"/>
      <c r="AL1" s="490"/>
      <c r="AM1" s="490"/>
      <c r="AN1" s="490"/>
      <c r="AO1" s="490"/>
      <c r="AP1" s="490"/>
      <c r="AQ1" s="490"/>
    </row>
    <row r="2" spans="1:43" ht="41.25" customHeight="1">
      <c r="A2" s="489" t="s">
        <v>1</v>
      </c>
      <c r="B2" s="490"/>
      <c r="C2" s="490"/>
      <c r="D2" s="490"/>
      <c r="E2" s="490"/>
      <c r="F2" s="490"/>
      <c r="G2" s="490"/>
      <c r="H2" s="490"/>
      <c r="I2" s="490"/>
      <c r="J2" s="490"/>
      <c r="K2" s="490"/>
      <c r="L2" s="490"/>
      <c r="M2" s="490"/>
      <c r="N2" s="490"/>
      <c r="O2" s="490"/>
      <c r="P2" s="490"/>
      <c r="Q2" s="490"/>
      <c r="R2" s="490"/>
      <c r="S2" s="490"/>
      <c r="T2" s="490"/>
      <c r="U2" s="490"/>
      <c r="V2" s="490"/>
      <c r="W2" s="490"/>
      <c r="X2" s="490"/>
      <c r="Y2" s="490"/>
      <c r="Z2" s="490"/>
      <c r="AA2" s="490"/>
      <c r="AB2" s="490"/>
      <c r="AC2" s="490"/>
      <c r="AD2" s="490"/>
      <c r="AE2" s="490"/>
      <c r="AF2" s="490"/>
      <c r="AG2" s="490"/>
      <c r="AH2" s="490"/>
      <c r="AI2" s="490"/>
      <c r="AJ2" s="490"/>
      <c r="AK2" s="490"/>
      <c r="AL2" s="490"/>
      <c r="AM2" s="490"/>
      <c r="AN2" s="490"/>
      <c r="AO2" s="490"/>
      <c r="AP2" s="490"/>
      <c r="AQ2" s="490"/>
    </row>
    <row r="3" spans="1:43" ht="33" customHeight="1">
      <c r="A3" s="491" t="s">
        <v>2</v>
      </c>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c r="AJ3" s="492"/>
      <c r="AK3" s="492"/>
      <c r="AL3" s="492"/>
      <c r="AM3" s="492"/>
      <c r="AN3" s="492"/>
      <c r="AO3" s="492"/>
      <c r="AP3" s="492"/>
      <c r="AQ3" s="492"/>
    </row>
    <row r="4" spans="1:43" s="292" customFormat="1" ht="30.75" customHeight="1">
      <c r="A4" s="493" t="s">
        <v>3</v>
      </c>
      <c r="B4" s="511" t="s">
        <v>4</v>
      </c>
      <c r="C4" s="511" t="s">
        <v>5</v>
      </c>
      <c r="D4" s="511" t="s">
        <v>6</v>
      </c>
      <c r="E4" s="496" t="s">
        <v>7</v>
      </c>
      <c r="F4" s="493" t="s">
        <v>8</v>
      </c>
      <c r="G4" s="493"/>
      <c r="H4" s="493"/>
      <c r="I4" s="493"/>
      <c r="J4" s="493"/>
      <c r="K4" s="493"/>
      <c r="L4" s="493"/>
      <c r="M4" s="493"/>
      <c r="N4" s="493"/>
      <c r="O4" s="493"/>
      <c r="P4" s="496" t="s">
        <v>9</v>
      </c>
      <c r="Q4" s="496" t="s">
        <v>10</v>
      </c>
      <c r="R4" s="494" t="s">
        <v>11</v>
      </c>
      <c r="S4" s="495"/>
      <c r="T4" s="495"/>
      <c r="U4" s="495"/>
      <c r="V4" s="495"/>
      <c r="W4" s="495"/>
      <c r="X4" s="493" t="s">
        <v>12</v>
      </c>
      <c r="Y4" s="493"/>
      <c r="Z4" s="493"/>
      <c r="AA4" s="493"/>
      <c r="AB4" s="493"/>
      <c r="AC4" s="493" t="s">
        <v>13</v>
      </c>
      <c r="AD4" s="493"/>
      <c r="AE4" s="493"/>
      <c r="AF4" s="493"/>
      <c r="AG4" s="493"/>
      <c r="AH4" s="493"/>
      <c r="AI4" s="493"/>
      <c r="AJ4" s="493"/>
      <c r="AK4" s="493"/>
      <c r="AL4" s="493"/>
      <c r="AM4" s="493"/>
      <c r="AN4" s="493"/>
      <c r="AO4" s="493"/>
      <c r="AP4" s="493"/>
      <c r="AQ4" s="496" t="s">
        <v>14</v>
      </c>
    </row>
    <row r="5" spans="1:43" s="292" customFormat="1">
      <c r="A5" s="493"/>
      <c r="B5" s="511"/>
      <c r="C5" s="511"/>
      <c r="D5" s="511"/>
      <c r="E5" s="496"/>
      <c r="F5" s="493" t="s">
        <v>15</v>
      </c>
      <c r="G5" s="493"/>
      <c r="H5" s="493"/>
      <c r="I5" s="493" t="s">
        <v>16</v>
      </c>
      <c r="J5" s="493"/>
      <c r="K5" s="493"/>
      <c r="L5" s="493"/>
      <c r="M5" s="493"/>
      <c r="N5" s="493"/>
      <c r="O5" s="493"/>
      <c r="P5" s="496"/>
      <c r="Q5" s="496"/>
      <c r="R5" s="506" t="s">
        <v>17</v>
      </c>
      <c r="S5" s="497" t="s">
        <v>18</v>
      </c>
      <c r="T5" s="497"/>
      <c r="U5" s="497"/>
      <c r="V5" s="497"/>
      <c r="W5" s="497"/>
      <c r="X5" s="499" t="s">
        <v>17</v>
      </c>
      <c r="Y5" s="498" t="s">
        <v>19</v>
      </c>
      <c r="Z5" s="498"/>
      <c r="AA5" s="498"/>
      <c r="AB5" s="498"/>
      <c r="AC5" s="510" t="s">
        <v>20</v>
      </c>
      <c r="AD5" s="493" t="s">
        <v>21</v>
      </c>
      <c r="AE5" s="493"/>
      <c r="AF5" s="493"/>
      <c r="AG5" s="493"/>
      <c r="AH5" s="493"/>
      <c r="AI5" s="493"/>
      <c r="AJ5" s="493"/>
      <c r="AK5" s="493"/>
      <c r="AL5" s="493"/>
      <c r="AM5" s="493"/>
      <c r="AN5" s="493"/>
      <c r="AO5" s="493"/>
      <c r="AP5" s="493"/>
      <c r="AQ5" s="496"/>
    </row>
    <row r="6" spans="1:43" s="292" customFormat="1" ht="15.75" customHeight="1">
      <c r="A6" s="493"/>
      <c r="B6" s="511"/>
      <c r="C6" s="511"/>
      <c r="D6" s="511"/>
      <c r="E6" s="496"/>
      <c r="F6" s="496" t="s">
        <v>22</v>
      </c>
      <c r="G6" s="503" t="s">
        <v>23</v>
      </c>
      <c r="H6" s="503"/>
      <c r="I6" s="496" t="s">
        <v>24</v>
      </c>
      <c r="J6" s="496" t="s">
        <v>25</v>
      </c>
      <c r="K6" s="496" t="s">
        <v>26</v>
      </c>
      <c r="L6" s="496"/>
      <c r="M6" s="496" t="s">
        <v>22</v>
      </c>
      <c r="N6" s="503" t="s">
        <v>23</v>
      </c>
      <c r="O6" s="503"/>
      <c r="P6" s="496"/>
      <c r="Q6" s="496"/>
      <c r="R6" s="506"/>
      <c r="S6" s="507" t="s">
        <v>27</v>
      </c>
      <c r="T6" s="507" t="s">
        <v>28</v>
      </c>
      <c r="U6" s="507" t="s">
        <v>29</v>
      </c>
      <c r="V6" s="507" t="s">
        <v>30</v>
      </c>
      <c r="W6" s="507" t="s">
        <v>31</v>
      </c>
      <c r="X6" s="499"/>
      <c r="Y6" s="500" t="s">
        <v>32</v>
      </c>
      <c r="Z6" s="500" t="s">
        <v>33</v>
      </c>
      <c r="AA6" s="500" t="s">
        <v>34</v>
      </c>
      <c r="AB6" s="500" t="s">
        <v>35</v>
      </c>
      <c r="AC6" s="510"/>
      <c r="AD6" s="503" t="s">
        <v>36</v>
      </c>
      <c r="AE6" s="504" t="s">
        <v>37</v>
      </c>
      <c r="AF6" s="505"/>
      <c r="AG6" s="505"/>
      <c r="AH6" s="505"/>
      <c r="AI6" s="505"/>
      <c r="AJ6" s="505"/>
      <c r="AK6" s="505"/>
      <c r="AL6" s="505"/>
      <c r="AM6" s="505"/>
      <c r="AN6" s="505"/>
      <c r="AO6" s="505"/>
      <c r="AP6" s="505"/>
      <c r="AQ6" s="496"/>
    </row>
    <row r="7" spans="1:43" s="292" customFormat="1">
      <c r="A7" s="493"/>
      <c r="B7" s="511"/>
      <c r="C7" s="511"/>
      <c r="D7" s="511"/>
      <c r="E7" s="496"/>
      <c r="F7" s="496"/>
      <c r="G7" s="503" t="s">
        <v>38</v>
      </c>
      <c r="H7" s="503" t="s">
        <v>39</v>
      </c>
      <c r="I7" s="496"/>
      <c r="J7" s="496"/>
      <c r="K7" s="496" t="s">
        <v>40</v>
      </c>
      <c r="L7" s="496" t="s">
        <v>41</v>
      </c>
      <c r="M7" s="496"/>
      <c r="N7" s="503" t="s">
        <v>38</v>
      </c>
      <c r="O7" s="503" t="s">
        <v>39</v>
      </c>
      <c r="P7" s="496"/>
      <c r="Q7" s="496"/>
      <c r="R7" s="506"/>
      <c r="S7" s="508"/>
      <c r="T7" s="508"/>
      <c r="U7" s="508"/>
      <c r="V7" s="508"/>
      <c r="W7" s="508"/>
      <c r="X7" s="499"/>
      <c r="Y7" s="501"/>
      <c r="Z7" s="501"/>
      <c r="AA7" s="501"/>
      <c r="AB7" s="501"/>
      <c r="AC7" s="510"/>
      <c r="AD7" s="503"/>
      <c r="AE7" s="510" t="s">
        <v>42</v>
      </c>
      <c r="AF7" s="503" t="s">
        <v>43</v>
      </c>
      <c r="AG7" s="503"/>
      <c r="AH7" s="503"/>
      <c r="AI7" s="503"/>
      <c r="AJ7" s="503"/>
      <c r="AK7" s="503"/>
      <c r="AL7" s="503"/>
      <c r="AM7" s="503"/>
      <c r="AN7" s="503"/>
      <c r="AO7" s="503"/>
      <c r="AP7" s="503"/>
      <c r="AQ7" s="496"/>
    </row>
    <row r="8" spans="1:43" s="292" customFormat="1" ht="30" customHeight="1">
      <c r="A8" s="493"/>
      <c r="B8" s="511"/>
      <c r="C8" s="511"/>
      <c r="D8" s="511"/>
      <c r="E8" s="496"/>
      <c r="F8" s="496"/>
      <c r="G8" s="503"/>
      <c r="H8" s="503"/>
      <c r="I8" s="496"/>
      <c r="J8" s="496"/>
      <c r="K8" s="496"/>
      <c r="L8" s="496"/>
      <c r="M8" s="496"/>
      <c r="N8" s="503"/>
      <c r="O8" s="503"/>
      <c r="P8" s="496"/>
      <c r="Q8" s="496"/>
      <c r="R8" s="506"/>
      <c r="S8" s="508"/>
      <c r="T8" s="508"/>
      <c r="U8" s="508"/>
      <c r="V8" s="508"/>
      <c r="W8" s="508"/>
      <c r="X8" s="499"/>
      <c r="Y8" s="501"/>
      <c r="Z8" s="501"/>
      <c r="AA8" s="501"/>
      <c r="AB8" s="501"/>
      <c r="AC8" s="510"/>
      <c r="AD8" s="503"/>
      <c r="AE8" s="510"/>
      <c r="AF8" s="497" t="s">
        <v>44</v>
      </c>
      <c r="AG8" s="497"/>
      <c r="AH8" s="497"/>
      <c r="AI8" s="497"/>
      <c r="AJ8" s="497"/>
      <c r="AK8" s="497"/>
      <c r="AL8" s="498" t="s">
        <v>45</v>
      </c>
      <c r="AM8" s="498"/>
      <c r="AN8" s="498"/>
      <c r="AO8" s="498"/>
      <c r="AP8" s="498"/>
      <c r="AQ8" s="496"/>
    </row>
    <row r="9" spans="1:43" s="292" customFormat="1">
      <c r="A9" s="493"/>
      <c r="B9" s="511"/>
      <c r="C9" s="511"/>
      <c r="D9" s="511"/>
      <c r="E9" s="496"/>
      <c r="F9" s="496"/>
      <c r="G9" s="503"/>
      <c r="H9" s="503"/>
      <c r="I9" s="496"/>
      <c r="J9" s="496"/>
      <c r="K9" s="496"/>
      <c r="L9" s="496"/>
      <c r="M9" s="496"/>
      <c r="N9" s="503"/>
      <c r="O9" s="503"/>
      <c r="P9" s="496"/>
      <c r="Q9" s="496"/>
      <c r="R9" s="506"/>
      <c r="S9" s="508"/>
      <c r="T9" s="508"/>
      <c r="U9" s="508"/>
      <c r="V9" s="508"/>
      <c r="W9" s="508"/>
      <c r="X9" s="499"/>
      <c r="Y9" s="501"/>
      <c r="Z9" s="501"/>
      <c r="AA9" s="501"/>
      <c r="AB9" s="501"/>
      <c r="AC9" s="510"/>
      <c r="AD9" s="503"/>
      <c r="AE9" s="510"/>
      <c r="AF9" s="506" t="s">
        <v>46</v>
      </c>
      <c r="AG9" s="497" t="s">
        <v>47</v>
      </c>
      <c r="AH9" s="497"/>
      <c r="AI9" s="497"/>
      <c r="AJ9" s="497"/>
      <c r="AK9" s="497"/>
      <c r="AL9" s="499" t="s">
        <v>48</v>
      </c>
      <c r="AM9" s="498" t="s">
        <v>19</v>
      </c>
      <c r="AN9" s="498"/>
      <c r="AO9" s="498"/>
      <c r="AP9" s="498"/>
      <c r="AQ9" s="496"/>
    </row>
    <row r="10" spans="1:43" s="292" customFormat="1" ht="60">
      <c r="A10" s="493"/>
      <c r="B10" s="511"/>
      <c r="C10" s="511"/>
      <c r="D10" s="511"/>
      <c r="E10" s="496"/>
      <c r="F10" s="496"/>
      <c r="G10" s="503"/>
      <c r="H10" s="503"/>
      <c r="I10" s="496"/>
      <c r="J10" s="496"/>
      <c r="K10" s="496"/>
      <c r="L10" s="496"/>
      <c r="M10" s="496"/>
      <c r="N10" s="503"/>
      <c r="O10" s="503"/>
      <c r="P10" s="496"/>
      <c r="Q10" s="496"/>
      <c r="R10" s="506"/>
      <c r="S10" s="509"/>
      <c r="T10" s="509"/>
      <c r="U10" s="509"/>
      <c r="V10" s="509"/>
      <c r="W10" s="509"/>
      <c r="X10" s="499"/>
      <c r="Y10" s="502"/>
      <c r="Z10" s="502"/>
      <c r="AA10" s="502"/>
      <c r="AB10" s="502"/>
      <c r="AC10" s="510"/>
      <c r="AD10" s="503"/>
      <c r="AE10" s="510"/>
      <c r="AF10" s="506"/>
      <c r="AG10" s="344" t="s">
        <v>49</v>
      </c>
      <c r="AH10" s="344" t="s">
        <v>50</v>
      </c>
      <c r="AI10" s="344" t="s">
        <v>51</v>
      </c>
      <c r="AJ10" s="344" t="s">
        <v>52</v>
      </c>
      <c r="AK10" s="344" t="s">
        <v>53</v>
      </c>
      <c r="AL10" s="499"/>
      <c r="AM10" s="427" t="s">
        <v>32</v>
      </c>
      <c r="AN10" s="427" t="s">
        <v>54</v>
      </c>
      <c r="AO10" s="427" t="s">
        <v>34</v>
      </c>
      <c r="AP10" s="427" t="s">
        <v>35</v>
      </c>
      <c r="AQ10" s="496"/>
    </row>
    <row r="11" spans="1:43" ht="28">
      <c r="A11" s="296">
        <v>1</v>
      </c>
      <c r="B11" s="296">
        <v>2</v>
      </c>
      <c r="C11" s="296">
        <v>3</v>
      </c>
      <c r="D11" s="296">
        <v>4</v>
      </c>
      <c r="E11" s="296">
        <v>5</v>
      </c>
      <c r="F11" s="296">
        <v>6</v>
      </c>
      <c r="G11" s="296">
        <v>7</v>
      </c>
      <c r="H11" s="296">
        <v>8</v>
      </c>
      <c r="I11" s="296">
        <v>9</v>
      </c>
      <c r="J11" s="296">
        <v>10</v>
      </c>
      <c r="K11" s="296">
        <v>11</v>
      </c>
      <c r="L11" s="296">
        <v>12</v>
      </c>
      <c r="M11" s="296">
        <v>13</v>
      </c>
      <c r="N11" s="296">
        <v>14</v>
      </c>
      <c r="O11" s="296">
        <v>15</v>
      </c>
      <c r="P11" s="296">
        <v>16</v>
      </c>
      <c r="Q11" s="296">
        <v>17</v>
      </c>
      <c r="R11" s="418" t="s">
        <v>55</v>
      </c>
      <c r="S11" s="418">
        <v>19</v>
      </c>
      <c r="T11" s="418">
        <v>20</v>
      </c>
      <c r="U11" s="418">
        <v>21</v>
      </c>
      <c r="V11" s="418">
        <v>22</v>
      </c>
      <c r="W11" s="418">
        <v>23</v>
      </c>
      <c r="X11" s="419" t="s">
        <v>56</v>
      </c>
      <c r="Y11" s="428">
        <v>25</v>
      </c>
      <c r="Z11" s="428">
        <v>26</v>
      </c>
      <c r="AA11" s="428">
        <v>27</v>
      </c>
      <c r="AB11" s="428">
        <v>28</v>
      </c>
      <c r="AC11" s="296" t="s">
        <v>57</v>
      </c>
      <c r="AD11" s="296">
        <v>30</v>
      </c>
      <c r="AE11" s="296">
        <v>31</v>
      </c>
      <c r="AF11" s="429" t="s">
        <v>58</v>
      </c>
      <c r="AG11" s="418">
        <v>33</v>
      </c>
      <c r="AH11" s="418">
        <v>34</v>
      </c>
      <c r="AI11" s="418">
        <v>35</v>
      </c>
      <c r="AJ11" s="418">
        <v>36</v>
      </c>
      <c r="AK11" s="418">
        <v>37</v>
      </c>
      <c r="AL11" s="433" t="s">
        <v>59</v>
      </c>
      <c r="AM11" s="428">
        <v>39</v>
      </c>
      <c r="AN11" s="428">
        <v>40</v>
      </c>
      <c r="AO11" s="428">
        <v>41</v>
      </c>
      <c r="AP11" s="428">
        <v>42</v>
      </c>
      <c r="AQ11" s="434">
        <v>43</v>
      </c>
    </row>
    <row r="12" spans="1:43" s="293" customFormat="1">
      <c r="A12" s="297"/>
      <c r="B12" s="298"/>
      <c r="C12" s="298"/>
      <c r="D12" s="297"/>
      <c r="E12" s="297" t="s">
        <v>60</v>
      </c>
      <c r="F12" s="299"/>
      <c r="G12" s="298"/>
      <c r="H12" s="298"/>
      <c r="I12" s="298"/>
      <c r="J12" s="297"/>
      <c r="K12" s="297"/>
      <c r="L12" s="297"/>
      <c r="M12" s="298"/>
      <c r="N12" s="298"/>
      <c r="O12" s="298"/>
      <c r="P12" s="297"/>
      <c r="Q12" s="298"/>
      <c r="R12" s="345"/>
      <c r="S12" s="345"/>
      <c r="T12" s="345"/>
      <c r="U12" s="345"/>
      <c r="V12" s="345"/>
      <c r="W12" s="345"/>
      <c r="X12" s="420"/>
      <c r="Y12" s="420"/>
      <c r="Z12" s="420"/>
      <c r="AA12" s="420"/>
      <c r="AB12" s="420"/>
      <c r="AC12" s="298"/>
      <c r="AD12" s="298"/>
      <c r="AE12" s="298"/>
      <c r="AF12" s="345"/>
      <c r="AG12" s="345"/>
      <c r="AH12" s="345"/>
      <c r="AI12" s="345"/>
      <c r="AJ12" s="345"/>
      <c r="AK12" s="345"/>
      <c r="AL12" s="420"/>
      <c r="AM12" s="420"/>
      <c r="AN12" s="420"/>
      <c r="AO12" s="420"/>
      <c r="AP12" s="420"/>
      <c r="AQ12" s="349"/>
    </row>
    <row r="13" spans="1:43" s="293" customFormat="1" ht="84" customHeight="1">
      <c r="A13" s="297" t="s">
        <v>61</v>
      </c>
      <c r="B13" s="298"/>
      <c r="C13" s="298"/>
      <c r="D13" s="297"/>
      <c r="E13" s="300" t="s">
        <v>62</v>
      </c>
      <c r="F13" s="299"/>
      <c r="G13" s="298"/>
      <c r="H13" s="298"/>
      <c r="I13" s="298"/>
      <c r="J13" s="297"/>
      <c r="K13" s="297"/>
      <c r="L13" s="297"/>
      <c r="M13" s="298"/>
      <c r="N13" s="298"/>
      <c r="O13" s="298"/>
      <c r="P13" s="297"/>
      <c r="Q13" s="298"/>
      <c r="R13" s="345"/>
      <c r="S13" s="345"/>
      <c r="T13" s="345"/>
      <c r="U13" s="345"/>
      <c r="V13" s="345"/>
      <c r="W13" s="345"/>
      <c r="X13" s="420"/>
      <c r="Y13" s="420"/>
      <c r="Z13" s="420"/>
      <c r="AA13" s="420"/>
      <c r="AB13" s="420"/>
      <c r="AC13" s="298"/>
      <c r="AD13" s="298"/>
      <c r="AE13" s="298"/>
      <c r="AF13" s="345"/>
      <c r="AG13" s="345"/>
      <c r="AH13" s="345"/>
      <c r="AI13" s="345"/>
      <c r="AJ13" s="345"/>
      <c r="AK13" s="345"/>
      <c r="AL13" s="420"/>
      <c r="AM13" s="420"/>
      <c r="AN13" s="420"/>
      <c r="AO13" s="420"/>
      <c r="AP13" s="420"/>
      <c r="AQ13" s="349"/>
    </row>
    <row r="14" spans="1:43" ht="47.25" customHeight="1">
      <c r="A14" s="301"/>
      <c r="B14" s="302" t="s">
        <v>63</v>
      </c>
      <c r="C14" s="302" t="s">
        <v>64</v>
      </c>
      <c r="D14" s="301"/>
      <c r="E14" s="303" t="s">
        <v>65</v>
      </c>
      <c r="F14" s="304"/>
      <c r="G14" s="305"/>
      <c r="H14" s="305"/>
      <c r="I14" s="301"/>
      <c r="J14" s="301"/>
      <c r="K14" s="301"/>
      <c r="L14" s="301"/>
      <c r="M14" s="304"/>
      <c r="N14" s="305"/>
      <c r="O14" s="305"/>
      <c r="P14" s="301"/>
      <c r="Q14" s="305"/>
      <c r="R14" s="346">
        <f t="shared" ref="R14:AP14" si="0">SUBTOTAL(9,R16:R17)</f>
        <v>0</v>
      </c>
      <c r="S14" s="346">
        <f t="shared" si="0"/>
        <v>0</v>
      </c>
      <c r="T14" s="346">
        <f t="shared" si="0"/>
        <v>0</v>
      </c>
      <c r="U14" s="346">
        <f t="shared" si="0"/>
        <v>0</v>
      </c>
      <c r="V14" s="346">
        <f t="shared" si="0"/>
        <v>0</v>
      </c>
      <c r="W14" s="346">
        <f t="shared" si="0"/>
        <v>0</v>
      </c>
      <c r="X14" s="421">
        <f t="shared" si="0"/>
        <v>0</v>
      </c>
      <c r="Y14" s="421">
        <f t="shared" si="0"/>
        <v>0</v>
      </c>
      <c r="Z14" s="421">
        <f t="shared" si="0"/>
        <v>0</v>
      </c>
      <c r="AA14" s="421">
        <f t="shared" si="0"/>
        <v>0</v>
      </c>
      <c r="AB14" s="421">
        <f t="shared" si="0"/>
        <v>0</v>
      </c>
      <c r="AC14" s="305">
        <f t="shared" si="0"/>
        <v>0</v>
      </c>
      <c r="AD14" s="305">
        <f t="shared" si="0"/>
        <v>0</v>
      </c>
      <c r="AE14" s="305">
        <f t="shared" si="0"/>
        <v>0</v>
      </c>
      <c r="AF14" s="346">
        <f t="shared" si="0"/>
        <v>0</v>
      </c>
      <c r="AG14" s="346">
        <f t="shared" si="0"/>
        <v>0</v>
      </c>
      <c r="AH14" s="346">
        <f t="shared" si="0"/>
        <v>0</v>
      </c>
      <c r="AI14" s="346">
        <f t="shared" si="0"/>
        <v>0</v>
      </c>
      <c r="AJ14" s="346">
        <f t="shared" si="0"/>
        <v>0</v>
      </c>
      <c r="AK14" s="346">
        <f t="shared" si="0"/>
        <v>0</v>
      </c>
      <c r="AL14" s="421">
        <f t="shared" si="0"/>
        <v>0</v>
      </c>
      <c r="AM14" s="421">
        <f t="shared" si="0"/>
        <v>0</v>
      </c>
      <c r="AN14" s="421">
        <f t="shared" si="0"/>
        <v>0</v>
      </c>
      <c r="AO14" s="421">
        <f t="shared" si="0"/>
        <v>0</v>
      </c>
      <c r="AP14" s="421">
        <f t="shared" si="0"/>
        <v>0</v>
      </c>
      <c r="AQ14" s="349" t="s">
        <v>66</v>
      </c>
    </row>
    <row r="15" spans="1:43" s="293" customFormat="1">
      <c r="A15" s="297"/>
      <c r="B15" s="298"/>
      <c r="C15" s="298"/>
      <c r="D15" s="297"/>
      <c r="E15" s="412" t="s">
        <v>67</v>
      </c>
      <c r="F15" s="413"/>
      <c r="G15" s="298"/>
      <c r="H15" s="298"/>
      <c r="I15" s="298"/>
      <c r="J15" s="297"/>
      <c r="K15" s="297"/>
      <c r="L15" s="297"/>
      <c r="M15" s="413"/>
      <c r="N15" s="298"/>
      <c r="O15" s="298"/>
      <c r="P15" s="297"/>
      <c r="Q15" s="298"/>
      <c r="R15" s="345"/>
      <c r="S15" s="345"/>
      <c r="T15" s="345"/>
      <c r="U15" s="345"/>
      <c r="V15" s="345"/>
      <c r="W15" s="345"/>
      <c r="X15" s="420"/>
      <c r="Y15" s="420"/>
      <c r="Z15" s="420"/>
      <c r="AA15" s="420"/>
      <c r="AB15" s="420"/>
      <c r="AC15" s="298"/>
      <c r="AD15" s="298"/>
      <c r="AE15" s="298"/>
      <c r="AF15" s="345"/>
      <c r="AG15" s="345"/>
      <c r="AH15" s="345"/>
      <c r="AI15" s="345"/>
      <c r="AJ15" s="345"/>
      <c r="AK15" s="345"/>
      <c r="AL15" s="420"/>
      <c r="AM15" s="420"/>
      <c r="AN15" s="420"/>
      <c r="AO15" s="420"/>
      <c r="AP15" s="420"/>
      <c r="AQ15" s="349"/>
    </row>
    <row r="16" spans="1:43" s="411" customFormat="1" ht="62.25" customHeight="1">
      <c r="A16" s="414"/>
      <c r="B16" s="415"/>
      <c r="C16" s="415"/>
      <c r="D16" s="414" t="s">
        <v>68</v>
      </c>
      <c r="E16" s="415" t="s">
        <v>69</v>
      </c>
      <c r="F16" s="416"/>
      <c r="G16" s="415"/>
      <c r="H16" s="415"/>
      <c r="I16" s="415"/>
      <c r="J16" s="414"/>
      <c r="K16" s="414"/>
      <c r="L16" s="414"/>
      <c r="M16" s="416"/>
      <c r="N16" s="415"/>
      <c r="O16" s="415"/>
      <c r="P16" s="414"/>
      <c r="Q16" s="422"/>
      <c r="R16" s="423">
        <f>SUM(S16:W16)</f>
        <v>0</v>
      </c>
      <c r="S16" s="423"/>
      <c r="T16" s="423"/>
      <c r="U16" s="423"/>
      <c r="V16" s="423"/>
      <c r="W16" s="424"/>
      <c r="X16" s="425">
        <f>SUM(Y16:AB16)</f>
        <v>0</v>
      </c>
      <c r="Y16" s="430"/>
      <c r="Z16" s="425"/>
      <c r="AA16" s="425"/>
      <c r="AB16" s="430"/>
      <c r="AC16" s="422">
        <f>AD16+AE16</f>
        <v>0</v>
      </c>
      <c r="AD16" s="422"/>
      <c r="AE16" s="422">
        <f>AF16+AL16</f>
        <v>0</v>
      </c>
      <c r="AF16" s="423">
        <f>SUM(AG16:AK16)</f>
        <v>0</v>
      </c>
      <c r="AG16" s="423"/>
      <c r="AH16" s="423"/>
      <c r="AI16" s="423"/>
      <c r="AJ16" s="423"/>
      <c r="AK16" s="424"/>
      <c r="AL16" s="425">
        <f>SUM(AM16:AP16)</f>
        <v>0</v>
      </c>
      <c r="AM16" s="430"/>
      <c r="AN16" s="425"/>
      <c r="AO16" s="425"/>
      <c r="AP16" s="430"/>
      <c r="AQ16" s="435"/>
    </row>
    <row r="17" spans="1:43" s="411" customFormat="1" ht="133.5" customHeight="1">
      <c r="A17" s="414"/>
      <c r="B17" s="415"/>
      <c r="C17" s="415"/>
      <c r="D17" s="414" t="s">
        <v>70</v>
      </c>
      <c r="E17" s="417" t="s">
        <v>71</v>
      </c>
      <c r="F17" s="416"/>
      <c r="G17" s="415"/>
      <c r="H17" s="415"/>
      <c r="I17" s="415"/>
      <c r="J17" s="414"/>
      <c r="K17" s="414"/>
      <c r="L17" s="414"/>
      <c r="M17" s="416"/>
      <c r="N17" s="415"/>
      <c r="O17" s="415"/>
      <c r="P17" s="414"/>
      <c r="Q17" s="422"/>
      <c r="R17" s="423">
        <f>SUM(S17:W17)</f>
        <v>0</v>
      </c>
      <c r="S17" s="424"/>
      <c r="T17" s="423"/>
      <c r="U17" s="424"/>
      <c r="V17" s="424"/>
      <c r="W17" s="424"/>
      <c r="X17" s="425">
        <f>SUM(Y17:AB17)</f>
        <v>0</v>
      </c>
      <c r="Y17" s="430"/>
      <c r="Z17" s="430"/>
      <c r="AA17" s="430"/>
      <c r="AB17" s="430"/>
      <c r="AC17" s="422">
        <f>AD17+AE17</f>
        <v>0</v>
      </c>
      <c r="AD17" s="415"/>
      <c r="AE17" s="422">
        <f>AF17+AL17</f>
        <v>0</v>
      </c>
      <c r="AF17" s="423">
        <f>SUM(AG17:AK17)</f>
        <v>0</v>
      </c>
      <c r="AG17" s="424"/>
      <c r="AH17" s="423"/>
      <c r="AI17" s="424"/>
      <c r="AJ17" s="424"/>
      <c r="AK17" s="424"/>
      <c r="AL17" s="425">
        <f>SUM(AM17:AP17)</f>
        <v>0</v>
      </c>
      <c r="AM17" s="430"/>
      <c r="AN17" s="430"/>
      <c r="AO17" s="430"/>
      <c r="AP17" s="430"/>
      <c r="AQ17" s="435"/>
    </row>
    <row r="18" spans="1:43" s="411" customFormat="1" ht="84.75" customHeight="1">
      <c r="A18" s="414"/>
      <c r="B18" s="302" t="s">
        <v>72</v>
      </c>
      <c r="C18" s="302" t="s">
        <v>64</v>
      </c>
      <c r="D18" s="414" t="s">
        <v>73</v>
      </c>
      <c r="E18" s="303" t="s">
        <v>74</v>
      </c>
      <c r="F18" s="416"/>
      <c r="G18" s="415"/>
      <c r="H18" s="415"/>
      <c r="I18" s="415"/>
      <c r="J18" s="414"/>
      <c r="K18" s="414"/>
      <c r="L18" s="414"/>
      <c r="M18" s="416"/>
      <c r="N18" s="415"/>
      <c r="O18" s="415"/>
      <c r="P18" s="414"/>
      <c r="Q18" s="422"/>
      <c r="R18" s="423">
        <f>SUM(S18:W18)</f>
        <v>0</v>
      </c>
      <c r="S18" s="423"/>
      <c r="T18" s="423"/>
      <c r="U18" s="423"/>
      <c r="V18" s="423"/>
      <c r="W18" s="424"/>
      <c r="X18" s="425">
        <f>SUM(Y18:AB18)</f>
        <v>0</v>
      </c>
      <c r="Y18" s="430"/>
      <c r="Z18" s="425"/>
      <c r="AA18" s="425"/>
      <c r="AB18" s="430"/>
      <c r="AC18" s="422">
        <f>AD18+AE18</f>
        <v>0</v>
      </c>
      <c r="AD18" s="422"/>
      <c r="AE18" s="422">
        <f>AF18+AL18</f>
        <v>0</v>
      </c>
      <c r="AF18" s="423">
        <f>SUM(AG18:AK18)</f>
        <v>0</v>
      </c>
      <c r="AG18" s="423"/>
      <c r="AH18" s="423"/>
      <c r="AI18" s="423"/>
      <c r="AJ18" s="423"/>
      <c r="AK18" s="424"/>
      <c r="AL18" s="425">
        <f>SUM(AM18:AP18)</f>
        <v>0</v>
      </c>
      <c r="AM18" s="430"/>
      <c r="AN18" s="425"/>
      <c r="AO18" s="425"/>
      <c r="AP18" s="430"/>
      <c r="AQ18" s="435"/>
    </row>
    <row r="19" spans="1:43" s="411" customFormat="1" ht="84.75" customHeight="1">
      <c r="A19" s="414"/>
      <c r="B19" s="302" t="s">
        <v>63</v>
      </c>
      <c r="C19" s="302" t="s">
        <v>64</v>
      </c>
      <c r="D19" s="414" t="s">
        <v>73</v>
      </c>
      <c r="E19" s="303" t="s">
        <v>74</v>
      </c>
      <c r="F19" s="416"/>
      <c r="G19" s="415"/>
      <c r="H19" s="415"/>
      <c r="I19" s="415"/>
      <c r="J19" s="414"/>
      <c r="K19" s="414"/>
      <c r="L19" s="414"/>
      <c r="M19" s="416"/>
      <c r="N19" s="415"/>
      <c r="O19" s="415"/>
      <c r="P19" s="414"/>
      <c r="Q19" s="422"/>
      <c r="R19" s="423">
        <f>SUM(S19:W19)</f>
        <v>0</v>
      </c>
      <c r="S19" s="423"/>
      <c r="T19" s="423"/>
      <c r="U19" s="423"/>
      <c r="V19" s="423"/>
      <c r="W19" s="424"/>
      <c r="X19" s="425">
        <f>SUM(Y19:AB19)</f>
        <v>0</v>
      </c>
      <c r="Y19" s="430"/>
      <c r="Z19" s="425"/>
      <c r="AA19" s="425"/>
      <c r="AB19" s="430"/>
      <c r="AC19" s="422">
        <f>AD19+AE19</f>
        <v>0</v>
      </c>
      <c r="AD19" s="422"/>
      <c r="AE19" s="422">
        <f>AF19+AL19</f>
        <v>0</v>
      </c>
      <c r="AF19" s="423">
        <f>SUM(AG19:AK19)</f>
        <v>0</v>
      </c>
      <c r="AG19" s="423"/>
      <c r="AH19" s="423"/>
      <c r="AI19" s="423"/>
      <c r="AJ19" s="423"/>
      <c r="AK19" s="424"/>
      <c r="AL19" s="425">
        <f>SUM(AM19:AP19)</f>
        <v>0</v>
      </c>
      <c r="AM19" s="430"/>
      <c r="AN19" s="425"/>
      <c r="AO19" s="425"/>
      <c r="AP19" s="430"/>
      <c r="AQ19" s="435"/>
    </row>
    <row r="20" spans="1:43" ht="67.5" customHeight="1">
      <c r="A20" s="297" t="s">
        <v>75</v>
      </c>
      <c r="B20" s="302"/>
      <c r="C20" s="302"/>
      <c r="D20" s="301"/>
      <c r="E20" s="300" t="s">
        <v>76</v>
      </c>
      <c r="F20" s="304"/>
      <c r="G20" s="302"/>
      <c r="H20" s="302"/>
      <c r="I20" s="302"/>
      <c r="J20" s="301"/>
      <c r="K20" s="301"/>
      <c r="L20" s="301"/>
      <c r="M20" s="304"/>
      <c r="N20" s="302"/>
      <c r="O20" s="302"/>
      <c r="P20" s="301"/>
      <c r="Q20" s="302"/>
      <c r="R20" s="347"/>
      <c r="S20" s="348"/>
      <c r="T20" s="348"/>
      <c r="U20" s="348"/>
      <c r="V20" s="348"/>
      <c r="W20" s="348"/>
      <c r="X20" s="426"/>
      <c r="Y20" s="431"/>
      <c r="Z20" s="431"/>
      <c r="AA20" s="431"/>
      <c r="AB20" s="431"/>
      <c r="AC20" s="432"/>
      <c r="AD20" s="302"/>
      <c r="AE20" s="432"/>
      <c r="AF20" s="347"/>
      <c r="AG20" s="348"/>
      <c r="AH20" s="348"/>
      <c r="AI20" s="348"/>
      <c r="AJ20" s="348"/>
      <c r="AK20" s="348"/>
      <c r="AL20" s="426"/>
      <c r="AM20" s="431"/>
      <c r="AN20" s="431"/>
      <c r="AO20" s="431"/>
      <c r="AP20" s="431"/>
      <c r="AQ20" s="349"/>
    </row>
    <row r="21" spans="1:43" s="411" customFormat="1" ht="84.75" customHeight="1">
      <c r="A21" s="414"/>
      <c r="B21" s="302" t="s">
        <v>63</v>
      </c>
      <c r="C21" s="302" t="s">
        <v>64</v>
      </c>
      <c r="D21" s="414" t="s">
        <v>68</v>
      </c>
      <c r="E21" s="303" t="s">
        <v>77</v>
      </c>
      <c r="F21" s="416"/>
      <c r="G21" s="415"/>
      <c r="H21" s="415"/>
      <c r="I21" s="415"/>
      <c r="J21" s="414"/>
      <c r="K21" s="414"/>
      <c r="L21" s="414"/>
      <c r="M21" s="416"/>
      <c r="N21" s="415"/>
      <c r="O21" s="415"/>
      <c r="P21" s="414"/>
      <c r="Q21" s="422"/>
      <c r="R21" s="423">
        <f t="shared" ref="R21:R26" si="1">SUM(S21:W21)</f>
        <v>0</v>
      </c>
      <c r="S21" s="423"/>
      <c r="T21" s="423"/>
      <c r="U21" s="423"/>
      <c r="V21" s="423"/>
      <c r="W21" s="424"/>
      <c r="X21" s="425">
        <f t="shared" ref="X21:X26" si="2">SUM(Y21:AB21)</f>
        <v>0</v>
      </c>
      <c r="Y21" s="430"/>
      <c r="Z21" s="425"/>
      <c r="AA21" s="425"/>
      <c r="AB21" s="430"/>
      <c r="AC21" s="422">
        <f t="shared" ref="AC21:AC26" si="3">AD21+AE21</f>
        <v>0</v>
      </c>
      <c r="AD21" s="422"/>
      <c r="AE21" s="422">
        <f t="shared" ref="AE21:AE26" si="4">AF21+AL21</f>
        <v>0</v>
      </c>
      <c r="AF21" s="423">
        <f t="shared" ref="AF21:AF26" si="5">SUM(AG21:AK21)</f>
        <v>0</v>
      </c>
      <c r="AG21" s="423"/>
      <c r="AH21" s="423"/>
      <c r="AI21" s="423"/>
      <c r="AJ21" s="423"/>
      <c r="AK21" s="424"/>
      <c r="AL21" s="425">
        <f t="shared" ref="AL21:AL26" si="6">SUM(AM21:AP21)</f>
        <v>0</v>
      </c>
      <c r="AM21" s="430"/>
      <c r="AN21" s="425"/>
      <c r="AO21" s="425"/>
      <c r="AP21" s="430"/>
      <c r="AQ21" s="435" t="s">
        <v>78</v>
      </c>
    </row>
    <row r="22" spans="1:43" s="411" customFormat="1" ht="84.75" customHeight="1">
      <c r="A22" s="414"/>
      <c r="B22" s="302" t="s">
        <v>79</v>
      </c>
      <c r="C22" s="302" t="s">
        <v>64</v>
      </c>
      <c r="D22" s="414" t="s">
        <v>73</v>
      </c>
      <c r="E22" s="303" t="s">
        <v>74</v>
      </c>
      <c r="F22" s="416"/>
      <c r="G22" s="415"/>
      <c r="H22" s="415"/>
      <c r="I22" s="415"/>
      <c r="J22" s="414"/>
      <c r="K22" s="414"/>
      <c r="L22" s="414"/>
      <c r="M22" s="416"/>
      <c r="N22" s="415"/>
      <c r="O22" s="415"/>
      <c r="P22" s="414"/>
      <c r="Q22" s="422"/>
      <c r="R22" s="423">
        <f t="shared" si="1"/>
        <v>0</v>
      </c>
      <c r="S22" s="423"/>
      <c r="T22" s="423"/>
      <c r="U22" s="423"/>
      <c r="V22" s="423"/>
      <c r="W22" s="424"/>
      <c r="X22" s="425">
        <f t="shared" si="2"/>
        <v>0</v>
      </c>
      <c r="Y22" s="430"/>
      <c r="Z22" s="425"/>
      <c r="AA22" s="425"/>
      <c r="AB22" s="430"/>
      <c r="AC22" s="422">
        <f t="shared" si="3"/>
        <v>0</v>
      </c>
      <c r="AD22" s="422"/>
      <c r="AE22" s="422">
        <f t="shared" si="4"/>
        <v>0</v>
      </c>
      <c r="AF22" s="423">
        <f t="shared" si="5"/>
        <v>0</v>
      </c>
      <c r="AG22" s="423"/>
      <c r="AH22" s="423"/>
      <c r="AI22" s="423"/>
      <c r="AJ22" s="423"/>
      <c r="AK22" s="424"/>
      <c r="AL22" s="425">
        <f t="shared" si="6"/>
        <v>0</v>
      </c>
      <c r="AM22" s="430"/>
      <c r="AN22" s="425"/>
      <c r="AO22" s="425"/>
      <c r="AP22" s="430"/>
      <c r="AQ22" s="435"/>
    </row>
    <row r="23" spans="1:43" s="411" customFormat="1" ht="84.75" customHeight="1">
      <c r="A23" s="414"/>
      <c r="B23" s="302" t="s">
        <v>63</v>
      </c>
      <c r="C23" s="302" t="s">
        <v>64</v>
      </c>
      <c r="D23" s="414" t="s">
        <v>73</v>
      </c>
      <c r="E23" s="303" t="s">
        <v>74</v>
      </c>
      <c r="F23" s="416"/>
      <c r="G23" s="415"/>
      <c r="H23" s="415"/>
      <c r="I23" s="415"/>
      <c r="J23" s="414"/>
      <c r="K23" s="414"/>
      <c r="L23" s="414"/>
      <c r="M23" s="416"/>
      <c r="N23" s="415"/>
      <c r="O23" s="415"/>
      <c r="P23" s="414"/>
      <c r="Q23" s="422"/>
      <c r="R23" s="423">
        <f t="shared" si="1"/>
        <v>0</v>
      </c>
      <c r="S23" s="423"/>
      <c r="T23" s="423"/>
      <c r="U23" s="423"/>
      <c r="V23" s="423"/>
      <c r="W23" s="424"/>
      <c r="X23" s="425">
        <f t="shared" si="2"/>
        <v>0</v>
      </c>
      <c r="Y23" s="430"/>
      <c r="Z23" s="425"/>
      <c r="AA23" s="425"/>
      <c r="AB23" s="430"/>
      <c r="AC23" s="422">
        <f t="shared" si="3"/>
        <v>0</v>
      </c>
      <c r="AD23" s="422"/>
      <c r="AE23" s="422">
        <f t="shared" si="4"/>
        <v>0</v>
      </c>
      <c r="AF23" s="423">
        <f t="shared" si="5"/>
        <v>0</v>
      </c>
      <c r="AG23" s="423"/>
      <c r="AH23" s="423"/>
      <c r="AI23" s="423"/>
      <c r="AJ23" s="423"/>
      <c r="AK23" s="424"/>
      <c r="AL23" s="425">
        <f t="shared" si="6"/>
        <v>0</v>
      </c>
      <c r="AM23" s="430"/>
      <c r="AN23" s="425"/>
      <c r="AO23" s="425"/>
      <c r="AP23" s="430"/>
      <c r="AQ23" s="435"/>
    </row>
    <row r="24" spans="1:43" s="411" customFormat="1" ht="84.75" customHeight="1">
      <c r="A24" s="414"/>
      <c r="B24" s="302" t="s">
        <v>80</v>
      </c>
      <c r="C24" s="302" t="s">
        <v>64</v>
      </c>
      <c r="D24" s="414" t="s">
        <v>81</v>
      </c>
      <c r="E24" s="303" t="s">
        <v>82</v>
      </c>
      <c r="F24" s="416"/>
      <c r="G24" s="415"/>
      <c r="H24" s="415"/>
      <c r="I24" s="415"/>
      <c r="J24" s="414"/>
      <c r="K24" s="414"/>
      <c r="L24" s="414"/>
      <c r="M24" s="416"/>
      <c r="N24" s="415"/>
      <c r="O24" s="415"/>
      <c r="P24" s="414"/>
      <c r="Q24" s="422"/>
      <c r="R24" s="423">
        <f t="shared" si="1"/>
        <v>0</v>
      </c>
      <c r="S24" s="423"/>
      <c r="T24" s="423"/>
      <c r="U24" s="423"/>
      <c r="V24" s="423"/>
      <c r="W24" s="424"/>
      <c r="X24" s="425">
        <f t="shared" si="2"/>
        <v>0</v>
      </c>
      <c r="Y24" s="430"/>
      <c r="Z24" s="425"/>
      <c r="AA24" s="425"/>
      <c r="AB24" s="430"/>
      <c r="AC24" s="422">
        <f t="shared" si="3"/>
        <v>0</v>
      </c>
      <c r="AD24" s="422"/>
      <c r="AE24" s="422">
        <f t="shared" si="4"/>
        <v>0</v>
      </c>
      <c r="AF24" s="423">
        <f t="shared" si="5"/>
        <v>0</v>
      </c>
      <c r="AG24" s="423"/>
      <c r="AH24" s="423"/>
      <c r="AI24" s="423"/>
      <c r="AJ24" s="423"/>
      <c r="AK24" s="424"/>
      <c r="AL24" s="425">
        <f t="shared" si="6"/>
        <v>0</v>
      </c>
      <c r="AM24" s="430"/>
      <c r="AN24" s="425"/>
      <c r="AO24" s="425"/>
      <c r="AP24" s="430"/>
      <c r="AQ24" s="435"/>
    </row>
    <row r="25" spans="1:43" s="411" customFormat="1" ht="84.75" customHeight="1">
      <c r="A25" s="414"/>
      <c r="B25" s="302" t="s">
        <v>80</v>
      </c>
      <c r="C25" s="302" t="s">
        <v>64</v>
      </c>
      <c r="D25" s="414" t="s">
        <v>81</v>
      </c>
      <c r="E25" s="303" t="s">
        <v>83</v>
      </c>
      <c r="F25" s="416"/>
      <c r="G25" s="415"/>
      <c r="H25" s="415"/>
      <c r="I25" s="415"/>
      <c r="J25" s="414"/>
      <c r="K25" s="414"/>
      <c r="L25" s="414"/>
      <c r="M25" s="416"/>
      <c r="N25" s="415"/>
      <c r="O25" s="415"/>
      <c r="P25" s="414"/>
      <c r="Q25" s="422"/>
      <c r="R25" s="423">
        <f t="shared" si="1"/>
        <v>0</v>
      </c>
      <c r="S25" s="423"/>
      <c r="T25" s="423"/>
      <c r="U25" s="423"/>
      <c r="V25" s="423"/>
      <c r="W25" s="424"/>
      <c r="X25" s="425">
        <f t="shared" si="2"/>
        <v>0</v>
      </c>
      <c r="Y25" s="430"/>
      <c r="Z25" s="425"/>
      <c r="AA25" s="425"/>
      <c r="AB25" s="430"/>
      <c r="AC25" s="422">
        <f t="shared" si="3"/>
        <v>0</v>
      </c>
      <c r="AD25" s="422"/>
      <c r="AE25" s="422">
        <f t="shared" si="4"/>
        <v>0</v>
      </c>
      <c r="AF25" s="423">
        <f t="shared" si="5"/>
        <v>0</v>
      </c>
      <c r="AG25" s="423"/>
      <c r="AH25" s="423"/>
      <c r="AI25" s="423"/>
      <c r="AJ25" s="423"/>
      <c r="AK25" s="424"/>
      <c r="AL25" s="425">
        <f t="shared" si="6"/>
        <v>0</v>
      </c>
      <c r="AM25" s="430"/>
      <c r="AN25" s="425"/>
      <c r="AO25" s="425"/>
      <c r="AP25" s="430"/>
      <c r="AQ25" s="435"/>
    </row>
    <row r="26" spans="1:43" ht="66.75" customHeight="1">
      <c r="A26" s="297" t="s">
        <v>84</v>
      </c>
      <c r="B26" s="302"/>
      <c r="C26" s="302"/>
      <c r="D26" s="301"/>
      <c r="E26" s="300" t="s">
        <v>85</v>
      </c>
      <c r="F26" s="304"/>
      <c r="G26" s="302"/>
      <c r="H26" s="302"/>
      <c r="I26" s="302"/>
      <c r="J26" s="301"/>
      <c r="K26" s="301"/>
      <c r="L26" s="301"/>
      <c r="M26" s="304"/>
      <c r="N26" s="302"/>
      <c r="O26" s="302"/>
      <c r="P26" s="301"/>
      <c r="Q26" s="302"/>
      <c r="R26" s="347">
        <f t="shared" si="1"/>
        <v>0</v>
      </c>
      <c r="S26" s="348"/>
      <c r="T26" s="348"/>
      <c r="U26" s="348"/>
      <c r="V26" s="348"/>
      <c r="W26" s="348"/>
      <c r="X26" s="426">
        <f t="shared" si="2"/>
        <v>0</v>
      </c>
      <c r="Y26" s="431"/>
      <c r="Z26" s="431"/>
      <c r="AA26" s="431"/>
      <c r="AB26" s="431"/>
      <c r="AC26" s="432">
        <f t="shared" si="3"/>
        <v>0</v>
      </c>
      <c r="AD26" s="302"/>
      <c r="AE26" s="432">
        <f t="shared" si="4"/>
        <v>0</v>
      </c>
      <c r="AF26" s="347">
        <f t="shared" si="5"/>
        <v>0</v>
      </c>
      <c r="AG26" s="348"/>
      <c r="AH26" s="348"/>
      <c r="AI26" s="348"/>
      <c r="AJ26" s="348"/>
      <c r="AK26" s="348"/>
      <c r="AL26" s="426">
        <f t="shared" si="6"/>
        <v>0</v>
      </c>
      <c r="AM26" s="431"/>
      <c r="AN26" s="431"/>
      <c r="AO26" s="431"/>
      <c r="AP26" s="431"/>
      <c r="AQ26" s="349"/>
    </row>
    <row r="27" spans="1:43" ht="47.25" customHeight="1">
      <c r="A27" s="301"/>
      <c r="B27" s="302" t="s">
        <v>63</v>
      </c>
      <c r="C27" s="302" t="s">
        <v>64</v>
      </c>
      <c r="D27" s="301"/>
      <c r="E27" s="303" t="s">
        <v>86</v>
      </c>
      <c r="F27" s="304"/>
      <c r="G27" s="305"/>
      <c r="H27" s="305"/>
      <c r="I27" s="301"/>
      <c r="J27" s="301"/>
      <c r="K27" s="301"/>
      <c r="L27" s="301"/>
      <c r="M27" s="304"/>
      <c r="N27" s="305"/>
      <c r="O27" s="305"/>
      <c r="P27" s="301"/>
      <c r="Q27" s="305"/>
      <c r="R27" s="346">
        <f t="shared" ref="R27:AP27" si="7">SUBTOTAL(9,R29:R30)</f>
        <v>0</v>
      </c>
      <c r="S27" s="346">
        <f t="shared" si="7"/>
        <v>0</v>
      </c>
      <c r="T27" s="346">
        <f t="shared" si="7"/>
        <v>0</v>
      </c>
      <c r="U27" s="346">
        <f t="shared" si="7"/>
        <v>0</v>
      </c>
      <c r="V27" s="346">
        <f t="shared" si="7"/>
        <v>0</v>
      </c>
      <c r="W27" s="346">
        <f t="shared" si="7"/>
        <v>0</v>
      </c>
      <c r="X27" s="421">
        <f t="shared" si="7"/>
        <v>0</v>
      </c>
      <c r="Y27" s="421">
        <f t="shared" si="7"/>
        <v>0</v>
      </c>
      <c r="Z27" s="421">
        <f t="shared" si="7"/>
        <v>0</v>
      </c>
      <c r="AA27" s="421">
        <f t="shared" si="7"/>
        <v>0</v>
      </c>
      <c r="AB27" s="421">
        <f t="shared" si="7"/>
        <v>0</v>
      </c>
      <c r="AC27" s="305">
        <f t="shared" si="7"/>
        <v>0</v>
      </c>
      <c r="AD27" s="305">
        <f t="shared" si="7"/>
        <v>0</v>
      </c>
      <c r="AE27" s="305">
        <f t="shared" si="7"/>
        <v>0</v>
      </c>
      <c r="AF27" s="346">
        <f t="shared" si="7"/>
        <v>0</v>
      </c>
      <c r="AG27" s="346">
        <f t="shared" si="7"/>
        <v>0</v>
      </c>
      <c r="AH27" s="346">
        <f t="shared" si="7"/>
        <v>0</v>
      </c>
      <c r="AI27" s="346">
        <f t="shared" si="7"/>
        <v>0</v>
      </c>
      <c r="AJ27" s="346">
        <f t="shared" si="7"/>
        <v>0</v>
      </c>
      <c r="AK27" s="346">
        <f t="shared" si="7"/>
        <v>0</v>
      </c>
      <c r="AL27" s="421">
        <f t="shared" si="7"/>
        <v>0</v>
      </c>
      <c r="AM27" s="421">
        <f t="shared" si="7"/>
        <v>0</v>
      </c>
      <c r="AN27" s="421">
        <f t="shared" si="7"/>
        <v>0</v>
      </c>
      <c r="AO27" s="421">
        <f t="shared" si="7"/>
        <v>0</v>
      </c>
      <c r="AP27" s="421">
        <f t="shared" si="7"/>
        <v>0</v>
      </c>
      <c r="AQ27" s="349" t="s">
        <v>87</v>
      </c>
    </row>
    <row r="28" spans="1:43" s="293" customFormat="1">
      <c r="A28" s="297"/>
      <c r="B28" s="298"/>
      <c r="C28" s="298"/>
      <c r="D28" s="297"/>
      <c r="E28" s="412" t="s">
        <v>67</v>
      </c>
      <c r="F28" s="413"/>
      <c r="G28" s="298"/>
      <c r="H28" s="298"/>
      <c r="I28" s="298"/>
      <c r="J28" s="297"/>
      <c r="K28" s="297"/>
      <c r="L28" s="297"/>
      <c r="M28" s="413"/>
      <c r="N28" s="298"/>
      <c r="O28" s="298"/>
      <c r="P28" s="297"/>
      <c r="Q28" s="298"/>
      <c r="R28" s="345"/>
      <c r="S28" s="345"/>
      <c r="T28" s="345"/>
      <c r="U28" s="345"/>
      <c r="V28" s="345"/>
      <c r="W28" s="345"/>
      <c r="X28" s="420"/>
      <c r="Y28" s="420"/>
      <c r="Z28" s="420"/>
      <c r="AA28" s="420"/>
      <c r="AB28" s="420"/>
      <c r="AC28" s="298"/>
      <c r="AD28" s="298"/>
      <c r="AE28" s="298"/>
      <c r="AF28" s="345"/>
      <c r="AG28" s="345"/>
      <c r="AH28" s="345"/>
      <c r="AI28" s="345"/>
      <c r="AJ28" s="345"/>
      <c r="AK28" s="345"/>
      <c r="AL28" s="420"/>
      <c r="AM28" s="420"/>
      <c r="AN28" s="420"/>
      <c r="AO28" s="420"/>
      <c r="AP28" s="420"/>
      <c r="AQ28" s="349"/>
    </row>
    <row r="29" spans="1:43" s="411" customFormat="1" ht="62.25" customHeight="1">
      <c r="A29" s="414"/>
      <c r="B29" s="415"/>
      <c r="C29" s="415"/>
      <c r="D29" s="414" t="s">
        <v>68</v>
      </c>
      <c r="E29" s="415" t="s">
        <v>69</v>
      </c>
      <c r="F29" s="416"/>
      <c r="G29" s="415"/>
      <c r="H29" s="415"/>
      <c r="I29" s="415"/>
      <c r="J29" s="414"/>
      <c r="K29" s="414"/>
      <c r="L29" s="414"/>
      <c r="M29" s="416"/>
      <c r="N29" s="415"/>
      <c r="O29" s="415"/>
      <c r="P29" s="414"/>
      <c r="Q29" s="422"/>
      <c r="R29" s="423">
        <f>SUM(S29:W29)</f>
        <v>0</v>
      </c>
      <c r="S29" s="423"/>
      <c r="T29" s="423"/>
      <c r="U29" s="423"/>
      <c r="V29" s="423"/>
      <c r="W29" s="424"/>
      <c r="X29" s="425">
        <f>SUM(Y29:AB29)</f>
        <v>0</v>
      </c>
      <c r="Y29" s="430"/>
      <c r="Z29" s="425"/>
      <c r="AA29" s="425"/>
      <c r="AB29" s="430"/>
      <c r="AC29" s="422">
        <f>AD29+AE29</f>
        <v>0</v>
      </c>
      <c r="AD29" s="422"/>
      <c r="AE29" s="422">
        <f>AF29+AL29</f>
        <v>0</v>
      </c>
      <c r="AF29" s="423">
        <f>SUM(AG29:AK29)</f>
        <v>0</v>
      </c>
      <c r="AG29" s="423"/>
      <c r="AH29" s="423"/>
      <c r="AI29" s="423"/>
      <c r="AJ29" s="423"/>
      <c r="AK29" s="424"/>
      <c r="AL29" s="425">
        <f>SUM(AM29:AP29)</f>
        <v>0</v>
      </c>
      <c r="AM29" s="430"/>
      <c r="AN29" s="425"/>
      <c r="AO29" s="425"/>
      <c r="AP29" s="430"/>
      <c r="AQ29" s="435"/>
    </row>
    <row r="30" spans="1:43" s="411" customFormat="1" ht="84.75" customHeight="1">
      <c r="A30" s="414"/>
      <c r="B30" s="415"/>
      <c r="C30" s="415"/>
      <c r="D30" s="414" t="s">
        <v>81</v>
      </c>
      <c r="E30" s="417" t="s">
        <v>88</v>
      </c>
      <c r="F30" s="416"/>
      <c r="G30" s="415"/>
      <c r="H30" s="415"/>
      <c r="I30" s="415"/>
      <c r="J30" s="414"/>
      <c r="K30" s="414"/>
      <c r="L30" s="414"/>
      <c r="M30" s="416"/>
      <c r="N30" s="415"/>
      <c r="O30" s="415"/>
      <c r="P30" s="414"/>
      <c r="Q30" s="422"/>
      <c r="R30" s="423">
        <f>SUM(S30:W30)</f>
        <v>0</v>
      </c>
      <c r="S30" s="424"/>
      <c r="T30" s="423"/>
      <c r="U30" s="424"/>
      <c r="V30" s="424"/>
      <c r="W30" s="424"/>
      <c r="X30" s="425">
        <f>SUM(Y30:AB30)</f>
        <v>0</v>
      </c>
      <c r="Y30" s="430"/>
      <c r="Z30" s="430"/>
      <c r="AA30" s="430"/>
      <c r="AB30" s="430"/>
      <c r="AC30" s="422">
        <f>AD30+AE30</f>
        <v>0</v>
      </c>
      <c r="AD30" s="415"/>
      <c r="AE30" s="422">
        <f>AF30+AL30</f>
        <v>0</v>
      </c>
      <c r="AF30" s="423">
        <f>SUM(AG30:AK30)</f>
        <v>0</v>
      </c>
      <c r="AG30" s="424"/>
      <c r="AH30" s="423"/>
      <c r="AI30" s="424"/>
      <c r="AJ30" s="424"/>
      <c r="AK30" s="424"/>
      <c r="AL30" s="425">
        <f>SUM(AM30:AP30)</f>
        <v>0</v>
      </c>
      <c r="AM30" s="430"/>
      <c r="AN30" s="430"/>
      <c r="AO30" s="430"/>
      <c r="AP30" s="430"/>
      <c r="AQ30" s="435"/>
    </row>
    <row r="31" spans="1:43" ht="47.25" customHeight="1">
      <c r="A31" s="301"/>
      <c r="B31" s="302" t="s">
        <v>63</v>
      </c>
      <c r="C31" s="302" t="s">
        <v>64</v>
      </c>
      <c r="D31" s="301"/>
      <c r="E31" s="303" t="s">
        <v>86</v>
      </c>
      <c r="F31" s="304"/>
      <c r="G31" s="305"/>
      <c r="H31" s="305"/>
      <c r="I31" s="301"/>
      <c r="J31" s="301"/>
      <c r="K31" s="301"/>
      <c r="L31" s="301"/>
      <c r="M31" s="304"/>
      <c r="N31" s="305"/>
      <c r="O31" s="305"/>
      <c r="P31" s="301"/>
      <c r="Q31" s="305"/>
      <c r="R31" s="346">
        <f t="shared" ref="R31:AP31" si="8">SUBTOTAL(9,R33:R34)</f>
        <v>0</v>
      </c>
      <c r="S31" s="346">
        <f t="shared" si="8"/>
        <v>0</v>
      </c>
      <c r="T31" s="346">
        <f t="shared" si="8"/>
        <v>0</v>
      </c>
      <c r="U31" s="346">
        <f t="shared" si="8"/>
        <v>0</v>
      </c>
      <c r="V31" s="346">
        <f t="shared" si="8"/>
        <v>0</v>
      </c>
      <c r="W31" s="346">
        <f t="shared" si="8"/>
        <v>0</v>
      </c>
      <c r="X31" s="421">
        <f t="shared" si="8"/>
        <v>0</v>
      </c>
      <c r="Y31" s="421">
        <f t="shared" si="8"/>
        <v>0</v>
      </c>
      <c r="Z31" s="421">
        <f t="shared" si="8"/>
        <v>0</v>
      </c>
      <c r="AA31" s="421">
        <f t="shared" si="8"/>
        <v>0</v>
      </c>
      <c r="AB31" s="421">
        <f t="shared" si="8"/>
        <v>0</v>
      </c>
      <c r="AC31" s="305">
        <f t="shared" si="8"/>
        <v>0</v>
      </c>
      <c r="AD31" s="305">
        <f t="shared" si="8"/>
        <v>0</v>
      </c>
      <c r="AE31" s="305">
        <f t="shared" si="8"/>
        <v>0</v>
      </c>
      <c r="AF31" s="346">
        <f t="shared" si="8"/>
        <v>0</v>
      </c>
      <c r="AG31" s="346">
        <f t="shared" si="8"/>
        <v>0</v>
      </c>
      <c r="AH31" s="346">
        <f t="shared" si="8"/>
        <v>0</v>
      </c>
      <c r="AI31" s="346">
        <f t="shared" si="8"/>
        <v>0</v>
      </c>
      <c r="AJ31" s="346">
        <f t="shared" si="8"/>
        <v>0</v>
      </c>
      <c r="AK31" s="346">
        <f t="shared" si="8"/>
        <v>0</v>
      </c>
      <c r="AL31" s="421">
        <f t="shared" si="8"/>
        <v>0</v>
      </c>
      <c r="AM31" s="421">
        <f t="shared" si="8"/>
        <v>0</v>
      </c>
      <c r="AN31" s="421">
        <f t="shared" si="8"/>
        <v>0</v>
      </c>
      <c r="AO31" s="421">
        <f t="shared" si="8"/>
        <v>0</v>
      </c>
      <c r="AP31" s="421">
        <f t="shared" si="8"/>
        <v>0</v>
      </c>
      <c r="AQ31" s="349" t="s">
        <v>89</v>
      </c>
    </row>
    <row r="32" spans="1:43" s="293" customFormat="1">
      <c r="A32" s="297"/>
      <c r="B32" s="298"/>
      <c r="C32" s="298"/>
      <c r="D32" s="297"/>
      <c r="E32" s="412" t="s">
        <v>67</v>
      </c>
      <c r="F32" s="413"/>
      <c r="G32" s="298"/>
      <c r="H32" s="298"/>
      <c r="I32" s="298"/>
      <c r="J32" s="297"/>
      <c r="K32" s="297"/>
      <c r="L32" s="297"/>
      <c r="M32" s="413"/>
      <c r="N32" s="298"/>
      <c r="O32" s="298"/>
      <c r="P32" s="297"/>
      <c r="Q32" s="298"/>
      <c r="R32" s="345"/>
      <c r="S32" s="345"/>
      <c r="T32" s="345"/>
      <c r="U32" s="345"/>
      <c r="V32" s="345"/>
      <c r="W32" s="345"/>
      <c r="X32" s="420"/>
      <c r="Y32" s="420"/>
      <c r="Z32" s="420"/>
      <c r="AA32" s="420"/>
      <c r="AB32" s="420"/>
      <c r="AC32" s="298"/>
      <c r="AD32" s="298"/>
      <c r="AE32" s="298"/>
      <c r="AF32" s="345"/>
      <c r="AG32" s="345"/>
      <c r="AH32" s="345"/>
      <c r="AI32" s="345"/>
      <c r="AJ32" s="345"/>
      <c r="AK32" s="345"/>
      <c r="AL32" s="420"/>
      <c r="AM32" s="420"/>
      <c r="AN32" s="420"/>
      <c r="AO32" s="420"/>
      <c r="AP32" s="420"/>
      <c r="AQ32" s="349"/>
    </row>
    <row r="33" spans="1:43" s="411" customFormat="1" ht="62.25" customHeight="1">
      <c r="A33" s="414"/>
      <c r="B33" s="415"/>
      <c r="C33" s="415"/>
      <c r="D33" s="414" t="s">
        <v>68</v>
      </c>
      <c r="E33" s="415" t="s">
        <v>69</v>
      </c>
      <c r="F33" s="416"/>
      <c r="G33" s="415"/>
      <c r="H33" s="415"/>
      <c r="I33" s="415"/>
      <c r="J33" s="414"/>
      <c r="K33" s="414"/>
      <c r="L33" s="414"/>
      <c r="M33" s="416"/>
      <c r="N33" s="415"/>
      <c r="O33" s="415"/>
      <c r="P33" s="414"/>
      <c r="Q33" s="422"/>
      <c r="R33" s="423">
        <f>SUM(S33:W33)</f>
        <v>0</v>
      </c>
      <c r="S33" s="423"/>
      <c r="T33" s="423"/>
      <c r="U33" s="423"/>
      <c r="V33" s="423"/>
      <c r="W33" s="424"/>
      <c r="X33" s="425">
        <f>SUM(Y33:AB33)</f>
        <v>0</v>
      </c>
      <c r="Y33" s="430"/>
      <c r="Z33" s="425"/>
      <c r="AA33" s="425"/>
      <c r="AB33" s="430"/>
      <c r="AC33" s="422">
        <f>AD33+AE33</f>
        <v>0</v>
      </c>
      <c r="AD33" s="422"/>
      <c r="AE33" s="422">
        <f>AF33+AL33</f>
        <v>0</v>
      </c>
      <c r="AF33" s="423">
        <f>SUM(AG33:AK33)</f>
        <v>0</v>
      </c>
      <c r="AG33" s="423"/>
      <c r="AH33" s="423"/>
      <c r="AI33" s="423"/>
      <c r="AJ33" s="423"/>
      <c r="AK33" s="424"/>
      <c r="AL33" s="425">
        <f>SUM(AM33:AP33)</f>
        <v>0</v>
      </c>
      <c r="AM33" s="430"/>
      <c r="AN33" s="425"/>
      <c r="AO33" s="425"/>
      <c r="AP33" s="430"/>
      <c r="AQ33" s="435"/>
    </row>
    <row r="34" spans="1:43" s="411" customFormat="1" ht="84.75" customHeight="1">
      <c r="A34" s="414"/>
      <c r="B34" s="415"/>
      <c r="C34" s="415"/>
      <c r="D34" s="414" t="s">
        <v>90</v>
      </c>
      <c r="E34" s="417" t="s">
        <v>91</v>
      </c>
      <c r="F34" s="416"/>
      <c r="G34" s="415"/>
      <c r="H34" s="415"/>
      <c r="I34" s="415"/>
      <c r="J34" s="414"/>
      <c r="K34" s="414"/>
      <c r="L34" s="414"/>
      <c r="M34" s="416"/>
      <c r="N34" s="415"/>
      <c r="O34" s="415"/>
      <c r="P34" s="414"/>
      <c r="Q34" s="422"/>
      <c r="R34" s="423">
        <f>SUM(S34:W34)</f>
        <v>0</v>
      </c>
      <c r="S34" s="424"/>
      <c r="T34" s="423"/>
      <c r="U34" s="424"/>
      <c r="V34" s="424"/>
      <c r="W34" s="424"/>
      <c r="X34" s="425">
        <f>SUM(Y34:AB34)</f>
        <v>0</v>
      </c>
      <c r="Y34" s="430"/>
      <c r="Z34" s="430"/>
      <c r="AA34" s="430"/>
      <c r="AB34" s="430"/>
      <c r="AC34" s="422">
        <f>AD34+AE34</f>
        <v>0</v>
      </c>
      <c r="AD34" s="415"/>
      <c r="AE34" s="422">
        <f>AF34+AL34</f>
        <v>0</v>
      </c>
      <c r="AF34" s="423">
        <f>SUM(AG34:AK34)</f>
        <v>0</v>
      </c>
      <c r="AG34" s="424"/>
      <c r="AH34" s="423"/>
      <c r="AI34" s="424"/>
      <c r="AJ34" s="424"/>
      <c r="AK34" s="424"/>
      <c r="AL34" s="425">
        <f>SUM(AM34:AP34)</f>
        <v>0</v>
      </c>
      <c r="AM34" s="430"/>
      <c r="AN34" s="430"/>
      <c r="AO34" s="430"/>
      <c r="AP34" s="430"/>
      <c r="AQ34" s="435"/>
    </row>
    <row r="35" spans="1:43" s="411" customFormat="1" ht="84.75" customHeight="1">
      <c r="A35" s="414"/>
      <c r="B35" s="302" t="s">
        <v>63</v>
      </c>
      <c r="C35" s="302" t="s">
        <v>64</v>
      </c>
      <c r="D35" s="414" t="s">
        <v>92</v>
      </c>
      <c r="E35" s="303" t="s">
        <v>93</v>
      </c>
      <c r="F35" s="416"/>
      <c r="G35" s="415"/>
      <c r="H35" s="415"/>
      <c r="I35" s="415"/>
      <c r="J35" s="414"/>
      <c r="K35" s="414"/>
      <c r="L35" s="414"/>
      <c r="M35" s="416"/>
      <c r="N35" s="415"/>
      <c r="O35" s="415"/>
      <c r="P35" s="414"/>
      <c r="Q35" s="422"/>
      <c r="R35" s="423">
        <f>SUM(S35:W35)</f>
        <v>0</v>
      </c>
      <c r="S35" s="423"/>
      <c r="T35" s="423"/>
      <c r="U35" s="423"/>
      <c r="V35" s="423"/>
      <c r="W35" s="424"/>
      <c r="X35" s="425">
        <f>SUM(Y35:AB35)</f>
        <v>0</v>
      </c>
      <c r="Y35" s="430"/>
      <c r="Z35" s="425"/>
      <c r="AA35" s="425"/>
      <c r="AB35" s="430"/>
      <c r="AC35" s="422">
        <f>AD35+AE35</f>
        <v>0</v>
      </c>
      <c r="AD35" s="422"/>
      <c r="AE35" s="422">
        <f>AF35+AL35</f>
        <v>0</v>
      </c>
      <c r="AF35" s="423">
        <f>SUM(AG35:AK35)</f>
        <v>0</v>
      </c>
      <c r="AG35" s="423"/>
      <c r="AH35" s="423"/>
      <c r="AI35" s="423"/>
      <c r="AJ35" s="423"/>
      <c r="AK35" s="424"/>
      <c r="AL35" s="425">
        <f>SUM(AM35:AP35)</f>
        <v>0</v>
      </c>
      <c r="AM35" s="430"/>
      <c r="AN35" s="425"/>
      <c r="AO35" s="425"/>
      <c r="AP35" s="430"/>
      <c r="AQ35" s="435" t="s">
        <v>94</v>
      </c>
    </row>
    <row r="36" spans="1:43">
      <c r="A36" s="301"/>
      <c r="B36" s="302"/>
      <c r="C36" s="302"/>
      <c r="D36" s="301"/>
      <c r="E36" s="302"/>
      <c r="F36" s="304"/>
      <c r="G36" s="302"/>
      <c r="H36" s="302"/>
      <c r="I36" s="302"/>
      <c r="J36" s="301"/>
      <c r="K36" s="301"/>
      <c r="L36" s="301"/>
      <c r="M36" s="304"/>
      <c r="N36" s="302"/>
      <c r="O36" s="302"/>
      <c r="P36" s="301"/>
      <c r="Q36" s="302"/>
      <c r="R36" s="347">
        <f>SUM(S36:W36)</f>
        <v>0</v>
      </c>
      <c r="S36" s="348"/>
      <c r="T36" s="348"/>
      <c r="U36" s="348"/>
      <c r="V36" s="348"/>
      <c r="W36" s="348"/>
      <c r="X36" s="426">
        <f>SUM(Y36:AB36)</f>
        <v>0</v>
      </c>
      <c r="Y36" s="431"/>
      <c r="Z36" s="431"/>
      <c r="AA36" s="431"/>
      <c r="AB36" s="431"/>
      <c r="AC36" s="432">
        <f>AD36+AE36</f>
        <v>0</v>
      </c>
      <c r="AD36" s="302"/>
      <c r="AE36" s="432">
        <f>AF36+AL36</f>
        <v>0</v>
      </c>
      <c r="AF36" s="347">
        <f>SUM(AG36:AK36)</f>
        <v>0</v>
      </c>
      <c r="AG36" s="348"/>
      <c r="AH36" s="348"/>
      <c r="AI36" s="348"/>
      <c r="AJ36" s="348"/>
      <c r="AK36" s="348"/>
      <c r="AL36" s="426">
        <f>SUM(AM36:AP36)</f>
        <v>0</v>
      </c>
      <c r="AM36" s="431"/>
      <c r="AN36" s="431"/>
      <c r="AO36" s="431"/>
      <c r="AP36" s="431"/>
      <c r="AQ36" s="349"/>
    </row>
  </sheetData>
  <mergeCells count="55">
    <mergeCell ref="K7:K10"/>
    <mergeCell ref="L7:L10"/>
    <mergeCell ref="F6:F10"/>
    <mergeCell ref="G7:G10"/>
    <mergeCell ref="H7:H10"/>
    <mergeCell ref="I6:I10"/>
    <mergeCell ref="J6:J10"/>
    <mergeCell ref="G6:H6"/>
    <mergeCell ref="K6:L6"/>
    <mergeCell ref="A4:A10"/>
    <mergeCell ref="B4:B10"/>
    <mergeCell ref="C4:C10"/>
    <mergeCell ref="D4:D10"/>
    <mergeCell ref="E4:E10"/>
    <mergeCell ref="V6:V10"/>
    <mergeCell ref="W6:W10"/>
    <mergeCell ref="AF8:AK8"/>
    <mergeCell ref="AL8:AP8"/>
    <mergeCell ref="AG9:AK9"/>
    <mergeCell ref="AM9:AP9"/>
    <mergeCell ref="AF9:AF10"/>
    <mergeCell ref="AL9:AL10"/>
    <mergeCell ref="AE7:AE10"/>
    <mergeCell ref="N6:O6"/>
    <mergeCell ref="AE6:AP6"/>
    <mergeCell ref="AF7:AP7"/>
    <mergeCell ref="M6:M10"/>
    <mergeCell ref="N7:N10"/>
    <mergeCell ref="O7:O10"/>
    <mergeCell ref="P4:P10"/>
    <mergeCell ref="Q4:Q10"/>
    <mergeCell ref="R5:R10"/>
    <mergeCell ref="S6:S10"/>
    <mergeCell ref="T6:T10"/>
    <mergeCell ref="U6:U10"/>
    <mergeCell ref="AA6:AA10"/>
    <mergeCell ref="AB6:AB10"/>
    <mergeCell ref="AC5:AC10"/>
    <mergeCell ref="AD6:AD10"/>
    <mergeCell ref="A1:AQ1"/>
    <mergeCell ref="A2:AQ2"/>
    <mergeCell ref="A3:AQ3"/>
    <mergeCell ref="F4:O4"/>
    <mergeCell ref="R4:W4"/>
    <mergeCell ref="X4:AB4"/>
    <mergeCell ref="AC4:AP4"/>
    <mergeCell ref="AQ4:AQ10"/>
    <mergeCell ref="F5:H5"/>
    <mergeCell ref="I5:O5"/>
    <mergeCell ref="S5:W5"/>
    <mergeCell ref="Y5:AB5"/>
    <mergeCell ref="AD5:AP5"/>
    <mergeCell ref="X5:X10"/>
    <mergeCell ref="Y6:Y10"/>
    <mergeCell ref="Z6:Z10"/>
  </mergeCells>
  <pageMargins left="0.22" right="0.21" top="0.36" bottom="0.32" header="0.23" footer="0.17"/>
  <pageSetup paperSize="8" scale="40" fitToHeight="0" orientation="landscape"/>
  <headerFooter differentFirst="1">
    <oddHeader>&amp;C&amp;P/&amp;N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D20"/>
  <sheetViews>
    <sheetView zoomScale="70" zoomScaleNormal="70" workbookViewId="0">
      <selection sqref="A1:AD2"/>
    </sheetView>
  </sheetViews>
  <sheetFormatPr defaultColWidth="9.1796875" defaultRowHeight="15.5"/>
  <cols>
    <col min="1" max="1" width="6.7265625" style="294" customWidth="1"/>
    <col min="2" max="2" width="11.81640625" style="295" customWidth="1"/>
    <col min="3" max="3" width="10.7265625" style="295" customWidth="1"/>
    <col min="4" max="4" width="26.7265625" style="295" customWidth="1"/>
    <col min="5" max="5" width="12.54296875" style="295" customWidth="1"/>
    <col min="6" max="8" width="10.7265625" style="295" customWidth="1"/>
    <col min="9" max="9" width="13.7265625" style="294" customWidth="1"/>
    <col min="10" max="11" width="10.7265625" style="294" customWidth="1"/>
    <col min="12" max="12" width="12.1796875" style="295" customWidth="1"/>
    <col min="13" max="14" width="10.7265625" style="295" customWidth="1"/>
    <col min="15" max="16" width="10.7265625" style="294" customWidth="1"/>
    <col min="17" max="18" width="10.7265625" style="295" customWidth="1"/>
    <col min="19" max="22" width="13.7265625" style="295" customWidth="1"/>
    <col min="23" max="24" width="10.7265625" style="295" customWidth="1"/>
    <col min="25" max="28" width="13.7265625" style="295" customWidth="1"/>
    <col min="29" max="29" width="10.7265625" style="295" customWidth="1"/>
    <col min="30" max="30" width="10.7265625" style="292" customWidth="1"/>
    <col min="31" max="16384" width="9.1796875" style="295"/>
  </cols>
  <sheetData>
    <row r="1" spans="1:30" ht="41.25" customHeight="1">
      <c r="A1" s="562" t="s">
        <v>451</v>
      </c>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row>
    <row r="2" spans="1:30" ht="41.25" customHeight="1">
      <c r="A2" s="562" t="s">
        <v>452</v>
      </c>
      <c r="B2" s="563"/>
      <c r="C2" s="563"/>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row>
    <row r="3" spans="1:30" ht="33" customHeight="1">
      <c r="A3" s="491" t="s">
        <v>2</v>
      </c>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row>
    <row r="4" spans="1:30" s="292" customFormat="1" ht="45.75" customHeight="1">
      <c r="A4" s="493" t="s">
        <v>3</v>
      </c>
      <c r="B4" s="511" t="s">
        <v>4</v>
      </c>
      <c r="C4" s="511" t="s">
        <v>5</v>
      </c>
      <c r="D4" s="496" t="s">
        <v>7</v>
      </c>
      <c r="E4" s="493" t="s">
        <v>8</v>
      </c>
      <c r="F4" s="493"/>
      <c r="G4" s="493"/>
      <c r="H4" s="493"/>
      <c r="I4" s="493"/>
      <c r="J4" s="493"/>
      <c r="K4" s="493"/>
      <c r="L4" s="493"/>
      <c r="M4" s="493"/>
      <c r="N4" s="493"/>
      <c r="O4" s="496" t="s">
        <v>137</v>
      </c>
      <c r="P4" s="496" t="s">
        <v>9</v>
      </c>
      <c r="Q4" s="496" t="s">
        <v>453</v>
      </c>
      <c r="R4" s="494" t="s">
        <v>139</v>
      </c>
      <c r="S4" s="495"/>
      <c r="T4" s="495"/>
      <c r="U4" s="495"/>
      <c r="V4" s="495"/>
      <c r="W4" s="495"/>
      <c r="X4" s="494" t="s">
        <v>140</v>
      </c>
      <c r="Y4" s="495"/>
      <c r="Z4" s="495"/>
      <c r="AA4" s="495"/>
      <c r="AB4" s="495"/>
      <c r="AC4" s="495"/>
      <c r="AD4" s="496" t="s">
        <v>14</v>
      </c>
    </row>
    <row r="5" spans="1:30" s="292" customFormat="1">
      <c r="A5" s="493"/>
      <c r="B5" s="511"/>
      <c r="C5" s="511"/>
      <c r="D5" s="496"/>
      <c r="E5" s="493" t="s">
        <v>15</v>
      </c>
      <c r="F5" s="493"/>
      <c r="G5" s="493"/>
      <c r="H5" s="493" t="s">
        <v>16</v>
      </c>
      <c r="I5" s="493"/>
      <c r="J5" s="493"/>
      <c r="K5" s="493"/>
      <c r="L5" s="493"/>
      <c r="M5" s="493"/>
      <c r="N5" s="493"/>
      <c r="O5" s="496"/>
      <c r="P5" s="496"/>
      <c r="Q5" s="496"/>
      <c r="R5" s="506" t="s">
        <v>17</v>
      </c>
      <c r="S5" s="497" t="s">
        <v>18</v>
      </c>
      <c r="T5" s="497"/>
      <c r="U5" s="497"/>
      <c r="V5" s="497"/>
      <c r="W5" s="497"/>
      <c r="X5" s="506" t="s">
        <v>17</v>
      </c>
      <c r="Y5" s="497" t="s">
        <v>18</v>
      </c>
      <c r="Z5" s="497"/>
      <c r="AA5" s="497"/>
      <c r="AB5" s="497"/>
      <c r="AC5" s="497"/>
      <c r="AD5" s="496"/>
    </row>
    <row r="6" spans="1:30" s="292" customFormat="1" ht="15.75" customHeight="1">
      <c r="A6" s="493"/>
      <c r="B6" s="511"/>
      <c r="C6" s="511"/>
      <c r="D6" s="496"/>
      <c r="E6" s="496" t="s">
        <v>22</v>
      </c>
      <c r="F6" s="503" t="s">
        <v>23</v>
      </c>
      <c r="G6" s="503"/>
      <c r="H6" s="496" t="s">
        <v>24</v>
      </c>
      <c r="I6" s="496" t="s">
        <v>25</v>
      </c>
      <c r="J6" s="496" t="s">
        <v>26</v>
      </c>
      <c r="K6" s="496"/>
      <c r="L6" s="496" t="s">
        <v>22</v>
      </c>
      <c r="M6" s="503" t="s">
        <v>23</v>
      </c>
      <c r="N6" s="503"/>
      <c r="O6" s="496"/>
      <c r="P6" s="496"/>
      <c r="Q6" s="496"/>
      <c r="R6" s="506"/>
      <c r="S6" s="507" t="s">
        <v>27</v>
      </c>
      <c r="T6" s="507" t="s">
        <v>28</v>
      </c>
      <c r="U6" s="507" t="s">
        <v>29</v>
      </c>
      <c r="V6" s="507" t="s">
        <v>30</v>
      </c>
      <c r="W6" s="507" t="s">
        <v>454</v>
      </c>
      <c r="X6" s="506"/>
      <c r="Y6" s="507" t="s">
        <v>27</v>
      </c>
      <c r="Z6" s="507" t="s">
        <v>28</v>
      </c>
      <c r="AA6" s="507" t="s">
        <v>29</v>
      </c>
      <c r="AB6" s="507" t="s">
        <v>455</v>
      </c>
      <c r="AC6" s="507" t="s">
        <v>142</v>
      </c>
      <c r="AD6" s="496"/>
    </row>
    <row r="7" spans="1:30" s="292" customFormat="1" ht="92.25" customHeight="1">
      <c r="A7" s="493"/>
      <c r="B7" s="511"/>
      <c r="C7" s="511"/>
      <c r="D7" s="496"/>
      <c r="E7" s="496"/>
      <c r="F7" s="181" t="s">
        <v>143</v>
      </c>
      <c r="G7" s="181" t="s">
        <v>144</v>
      </c>
      <c r="H7" s="496"/>
      <c r="I7" s="496"/>
      <c r="J7" s="180" t="s">
        <v>40</v>
      </c>
      <c r="K7" s="180" t="s">
        <v>41</v>
      </c>
      <c r="L7" s="496"/>
      <c r="M7" s="181" t="s">
        <v>143</v>
      </c>
      <c r="N7" s="181" t="s">
        <v>144</v>
      </c>
      <c r="O7" s="496"/>
      <c r="P7" s="496"/>
      <c r="Q7" s="496"/>
      <c r="R7" s="506"/>
      <c r="S7" s="508"/>
      <c r="T7" s="508"/>
      <c r="U7" s="508"/>
      <c r="V7" s="508"/>
      <c r="W7" s="508"/>
      <c r="X7" s="506"/>
      <c r="Y7" s="508"/>
      <c r="Z7" s="508"/>
      <c r="AA7" s="508"/>
      <c r="AB7" s="508"/>
      <c r="AC7" s="508"/>
      <c r="AD7" s="496"/>
    </row>
    <row r="8" spans="1:30">
      <c r="A8" s="296">
        <v>1</v>
      </c>
      <c r="B8" s="296">
        <v>2</v>
      </c>
      <c r="C8" s="296">
        <v>3</v>
      </c>
      <c r="D8" s="296">
        <v>4</v>
      </c>
      <c r="E8" s="296">
        <v>5</v>
      </c>
      <c r="F8" s="296">
        <v>6</v>
      </c>
      <c r="G8" s="296">
        <v>7</v>
      </c>
      <c r="H8" s="296">
        <v>8</v>
      </c>
      <c r="I8" s="296">
        <v>9</v>
      </c>
      <c r="J8" s="296">
        <v>10</v>
      </c>
      <c r="K8" s="296">
        <v>11</v>
      </c>
      <c r="L8" s="296">
        <v>12</v>
      </c>
      <c r="M8" s="296">
        <v>13</v>
      </c>
      <c r="N8" s="296">
        <v>14</v>
      </c>
      <c r="O8" s="296">
        <v>15</v>
      </c>
      <c r="P8" s="296">
        <v>16</v>
      </c>
      <c r="Q8" s="296">
        <v>17</v>
      </c>
      <c r="R8" s="296">
        <v>18</v>
      </c>
      <c r="S8" s="296">
        <v>19</v>
      </c>
      <c r="T8" s="296">
        <v>20</v>
      </c>
      <c r="U8" s="296">
        <v>21</v>
      </c>
      <c r="V8" s="296">
        <v>22</v>
      </c>
      <c r="W8" s="296">
        <v>23</v>
      </c>
      <c r="X8" s="296">
        <v>24</v>
      </c>
      <c r="Y8" s="296">
        <v>25</v>
      </c>
      <c r="Z8" s="296">
        <v>26</v>
      </c>
      <c r="AA8" s="296">
        <v>27</v>
      </c>
      <c r="AB8" s="296">
        <v>28</v>
      </c>
      <c r="AC8" s="296">
        <v>29</v>
      </c>
      <c r="AD8" s="296">
        <v>30</v>
      </c>
    </row>
    <row r="9" spans="1:30" s="293" customFormat="1">
      <c r="A9" s="297"/>
      <c r="B9" s="298"/>
      <c r="C9" s="298"/>
      <c r="D9" s="297" t="s">
        <v>60</v>
      </c>
      <c r="E9" s="299"/>
      <c r="F9" s="298"/>
      <c r="G9" s="298"/>
      <c r="H9" s="298"/>
      <c r="I9" s="297"/>
      <c r="J9" s="297"/>
      <c r="K9" s="297"/>
      <c r="L9" s="298"/>
      <c r="M9" s="298"/>
      <c r="N9" s="298"/>
      <c r="O9" s="297"/>
      <c r="P9" s="297"/>
      <c r="Q9" s="298"/>
      <c r="R9" s="345"/>
      <c r="S9" s="345"/>
      <c r="T9" s="345"/>
      <c r="U9" s="345"/>
      <c r="V9" s="345"/>
      <c r="W9" s="345"/>
      <c r="X9" s="345"/>
      <c r="Y9" s="345"/>
      <c r="Z9" s="345"/>
      <c r="AA9" s="345"/>
      <c r="AB9" s="345"/>
      <c r="AC9" s="345"/>
      <c r="AD9" s="349"/>
    </row>
    <row r="10" spans="1:30" s="293" customFormat="1" ht="84" customHeight="1">
      <c r="A10" s="297" t="s">
        <v>61</v>
      </c>
      <c r="B10" s="298"/>
      <c r="C10" s="298"/>
      <c r="D10" s="300" t="s">
        <v>62</v>
      </c>
      <c r="E10" s="299"/>
      <c r="F10" s="298"/>
      <c r="G10" s="298"/>
      <c r="H10" s="298"/>
      <c r="I10" s="297"/>
      <c r="J10" s="297"/>
      <c r="K10" s="297"/>
      <c r="L10" s="298"/>
      <c r="M10" s="298"/>
      <c r="N10" s="298"/>
      <c r="O10" s="297"/>
      <c r="P10" s="297"/>
      <c r="Q10" s="298"/>
      <c r="R10" s="345"/>
      <c r="S10" s="345"/>
      <c r="T10" s="345"/>
      <c r="U10" s="345"/>
      <c r="V10" s="345"/>
      <c r="W10" s="345"/>
      <c r="X10" s="345"/>
      <c r="Y10" s="345"/>
      <c r="Z10" s="345"/>
      <c r="AA10" s="345"/>
      <c r="AB10" s="345"/>
      <c r="AC10" s="345"/>
      <c r="AD10" s="349"/>
    </row>
    <row r="11" spans="1:30" ht="52.5" customHeight="1">
      <c r="A11" s="301"/>
      <c r="B11" s="302" t="s">
        <v>80</v>
      </c>
      <c r="C11" s="302">
        <v>7895799</v>
      </c>
      <c r="D11" s="303" t="s">
        <v>145</v>
      </c>
      <c r="E11" s="304" t="s">
        <v>146</v>
      </c>
      <c r="F11" s="305">
        <v>30000</v>
      </c>
      <c r="G11" s="305">
        <v>30000</v>
      </c>
      <c r="H11" s="301" t="s">
        <v>134</v>
      </c>
      <c r="I11" s="301" t="s">
        <v>147</v>
      </c>
      <c r="J11" s="301">
        <v>2020</v>
      </c>
      <c r="K11" s="301">
        <v>2022</v>
      </c>
      <c r="L11" s="304" t="s">
        <v>148</v>
      </c>
      <c r="M11" s="305">
        <v>30000</v>
      </c>
      <c r="N11" s="305">
        <v>30000</v>
      </c>
      <c r="O11" s="306">
        <v>5000</v>
      </c>
      <c r="P11" s="301">
        <v>2020</v>
      </c>
      <c r="Q11" s="305">
        <v>25000</v>
      </c>
      <c r="R11" s="346">
        <f>SUM(S11:W11)</f>
        <v>25000</v>
      </c>
      <c r="S11" s="346">
        <v>20000</v>
      </c>
      <c r="T11" s="346">
        <v>5000</v>
      </c>
      <c r="U11" s="346"/>
      <c r="V11" s="346"/>
      <c r="W11" s="346"/>
      <c r="X11" s="346">
        <f>SUM(Y11:AC11)</f>
        <v>25000</v>
      </c>
      <c r="Y11" s="346">
        <v>20000</v>
      </c>
      <c r="Z11" s="346">
        <v>5000</v>
      </c>
      <c r="AA11" s="346"/>
      <c r="AB11" s="346"/>
      <c r="AC11" s="346"/>
      <c r="AD11" s="349"/>
    </row>
    <row r="12" spans="1:30">
      <c r="A12" s="301"/>
      <c r="B12" s="302"/>
      <c r="C12" s="302"/>
      <c r="D12" s="302" t="s">
        <v>125</v>
      </c>
      <c r="E12" s="304"/>
      <c r="F12" s="302"/>
      <c r="G12" s="302"/>
      <c r="H12" s="302"/>
      <c r="I12" s="301"/>
      <c r="J12" s="301"/>
      <c r="K12" s="301"/>
      <c r="L12" s="304"/>
      <c r="M12" s="302"/>
      <c r="N12" s="302"/>
      <c r="O12" s="301"/>
      <c r="P12" s="301"/>
      <c r="Q12" s="302"/>
      <c r="R12" s="347">
        <f t="shared" ref="R12:R20" si="0">SUM(S12:W12)</f>
        <v>0</v>
      </c>
      <c r="S12" s="348"/>
      <c r="T12" s="348"/>
      <c r="U12" s="348"/>
      <c r="V12" s="348"/>
      <c r="W12" s="348"/>
      <c r="X12" s="347">
        <f>SUM(Y12:AC12)</f>
        <v>0</v>
      </c>
      <c r="Y12" s="348"/>
      <c r="Z12" s="348"/>
      <c r="AA12" s="348"/>
      <c r="AB12" s="348"/>
      <c r="AC12" s="348"/>
      <c r="AD12" s="349"/>
    </row>
    <row r="13" spans="1:30">
      <c r="A13" s="301"/>
      <c r="B13" s="302"/>
      <c r="C13" s="302"/>
      <c r="D13" s="302" t="s">
        <v>119</v>
      </c>
      <c r="E13" s="304"/>
      <c r="F13" s="302"/>
      <c r="G13" s="302"/>
      <c r="H13" s="302"/>
      <c r="I13" s="301"/>
      <c r="J13" s="301"/>
      <c r="K13" s="301"/>
      <c r="L13" s="304"/>
      <c r="M13" s="302"/>
      <c r="N13" s="302"/>
      <c r="O13" s="301"/>
      <c r="P13" s="301"/>
      <c r="Q13" s="302"/>
      <c r="R13" s="347">
        <f t="shared" si="0"/>
        <v>0</v>
      </c>
      <c r="S13" s="348"/>
      <c r="T13" s="348"/>
      <c r="U13" s="348"/>
      <c r="V13" s="348"/>
      <c r="W13" s="348"/>
      <c r="X13" s="347">
        <f>SUM(Y13:AC13)</f>
        <v>0</v>
      </c>
      <c r="Y13" s="348"/>
      <c r="Z13" s="348"/>
      <c r="AA13" s="348"/>
      <c r="AB13" s="348"/>
      <c r="AC13" s="348"/>
      <c r="AD13" s="349"/>
    </row>
    <row r="14" spans="1:30" ht="67.5" customHeight="1">
      <c r="A14" s="297" t="s">
        <v>75</v>
      </c>
      <c r="B14" s="302"/>
      <c r="C14" s="302"/>
      <c r="D14" s="300" t="s">
        <v>76</v>
      </c>
      <c r="E14" s="304"/>
      <c r="F14" s="302"/>
      <c r="G14" s="302"/>
      <c r="H14" s="302"/>
      <c r="I14" s="301"/>
      <c r="J14" s="301"/>
      <c r="K14" s="301"/>
      <c r="L14" s="304"/>
      <c r="M14" s="302"/>
      <c r="N14" s="302"/>
      <c r="O14" s="301"/>
      <c r="P14" s="301"/>
      <c r="Q14" s="302"/>
      <c r="R14" s="347"/>
      <c r="S14" s="348"/>
      <c r="T14" s="348"/>
      <c r="U14" s="348"/>
      <c r="V14" s="348"/>
      <c r="W14" s="348"/>
      <c r="X14" s="347"/>
      <c r="Y14" s="348"/>
      <c r="Z14" s="348"/>
      <c r="AA14" s="348"/>
      <c r="AB14" s="348"/>
      <c r="AC14" s="348"/>
      <c r="AD14" s="349"/>
    </row>
    <row r="15" spans="1:30" ht="52.5" customHeight="1">
      <c r="A15" s="301"/>
      <c r="B15" s="302" t="s">
        <v>80</v>
      </c>
      <c r="C15" s="302">
        <v>7895744</v>
      </c>
      <c r="D15" s="303" t="s">
        <v>145</v>
      </c>
      <c r="E15" s="304" t="s">
        <v>149</v>
      </c>
      <c r="F15" s="305">
        <v>25000</v>
      </c>
      <c r="G15" s="305">
        <v>25000</v>
      </c>
      <c r="H15" s="301" t="s">
        <v>134</v>
      </c>
      <c r="I15" s="301" t="s">
        <v>147</v>
      </c>
      <c r="J15" s="301">
        <v>2022</v>
      </c>
      <c r="K15" s="301">
        <v>2023</v>
      </c>
      <c r="L15" s="304" t="s">
        <v>150</v>
      </c>
      <c r="M15" s="305">
        <v>25000</v>
      </c>
      <c r="N15" s="305">
        <v>25000</v>
      </c>
      <c r="O15" s="306">
        <v>0</v>
      </c>
      <c r="P15" s="301">
        <v>2022</v>
      </c>
      <c r="Q15" s="305">
        <v>25000</v>
      </c>
      <c r="R15" s="346">
        <f>SUM(S15:W15)</f>
        <v>25000</v>
      </c>
      <c r="S15" s="346"/>
      <c r="T15" s="346">
        <v>5000</v>
      </c>
      <c r="U15" s="346">
        <v>20000</v>
      </c>
      <c r="V15" s="346"/>
      <c r="W15" s="346"/>
      <c r="X15" s="346">
        <f t="shared" ref="X15:X20" si="1">SUM(Y15:AC15)</f>
        <v>25000</v>
      </c>
      <c r="Y15" s="346"/>
      <c r="Z15" s="346">
        <v>5000</v>
      </c>
      <c r="AA15" s="346">
        <v>20000</v>
      </c>
      <c r="AB15" s="346"/>
      <c r="AC15" s="346"/>
      <c r="AD15" s="349"/>
    </row>
    <row r="16" spans="1:30">
      <c r="A16" s="301"/>
      <c r="B16" s="302"/>
      <c r="C16" s="302"/>
      <c r="D16" s="302" t="s">
        <v>119</v>
      </c>
      <c r="E16" s="304"/>
      <c r="F16" s="302"/>
      <c r="G16" s="302"/>
      <c r="H16" s="302"/>
      <c r="I16" s="301"/>
      <c r="J16" s="301"/>
      <c r="K16" s="301"/>
      <c r="L16" s="304"/>
      <c r="M16" s="302"/>
      <c r="N16" s="302"/>
      <c r="O16" s="301"/>
      <c r="P16" s="301"/>
      <c r="Q16" s="302"/>
      <c r="R16" s="347">
        <f>SUM(S16:W16)</f>
        <v>0</v>
      </c>
      <c r="S16" s="348"/>
      <c r="T16" s="348"/>
      <c r="U16" s="348"/>
      <c r="V16" s="348"/>
      <c r="W16" s="348"/>
      <c r="X16" s="347">
        <f t="shared" si="1"/>
        <v>0</v>
      </c>
      <c r="Y16" s="348"/>
      <c r="Z16" s="348"/>
      <c r="AA16" s="348"/>
      <c r="AB16" s="348"/>
      <c r="AC16" s="348"/>
      <c r="AD16" s="349"/>
    </row>
    <row r="17" spans="1:30" ht="66.75" customHeight="1">
      <c r="A17" s="297" t="s">
        <v>84</v>
      </c>
      <c r="B17" s="302"/>
      <c r="C17" s="302"/>
      <c r="D17" s="300" t="s">
        <v>85</v>
      </c>
      <c r="E17" s="304"/>
      <c r="F17" s="302"/>
      <c r="G17" s="302"/>
      <c r="H17" s="302"/>
      <c r="I17" s="301"/>
      <c r="J17" s="301"/>
      <c r="K17" s="301"/>
      <c r="L17" s="304"/>
      <c r="M17" s="302"/>
      <c r="N17" s="302"/>
      <c r="O17" s="301"/>
      <c r="P17" s="301"/>
      <c r="Q17" s="302"/>
      <c r="R17" s="347">
        <f t="shared" si="0"/>
        <v>0</v>
      </c>
      <c r="S17" s="348"/>
      <c r="T17" s="348"/>
      <c r="U17" s="348"/>
      <c r="V17" s="348"/>
      <c r="W17" s="348"/>
      <c r="X17" s="347">
        <f t="shared" si="1"/>
        <v>0</v>
      </c>
      <c r="Y17" s="348"/>
      <c r="Z17" s="348"/>
      <c r="AA17" s="348"/>
      <c r="AB17" s="348"/>
      <c r="AC17" s="348"/>
      <c r="AD17" s="349"/>
    </row>
    <row r="18" spans="1:30">
      <c r="A18" s="301"/>
      <c r="B18" s="302"/>
      <c r="C18" s="302"/>
      <c r="D18" s="302" t="s">
        <v>125</v>
      </c>
      <c r="E18" s="304"/>
      <c r="F18" s="302"/>
      <c r="G18" s="302"/>
      <c r="H18" s="302"/>
      <c r="I18" s="301"/>
      <c r="J18" s="301"/>
      <c r="K18" s="301"/>
      <c r="L18" s="304"/>
      <c r="M18" s="302"/>
      <c r="N18" s="302"/>
      <c r="O18" s="301"/>
      <c r="P18" s="301"/>
      <c r="Q18" s="302"/>
      <c r="R18" s="347">
        <f t="shared" si="0"/>
        <v>0</v>
      </c>
      <c r="S18" s="348"/>
      <c r="T18" s="348"/>
      <c r="U18" s="348"/>
      <c r="V18" s="348"/>
      <c r="W18" s="348"/>
      <c r="X18" s="347">
        <f t="shared" si="1"/>
        <v>0</v>
      </c>
      <c r="Y18" s="348"/>
      <c r="Z18" s="348"/>
      <c r="AA18" s="348"/>
      <c r="AB18" s="348"/>
      <c r="AC18" s="348"/>
      <c r="AD18" s="349"/>
    </row>
    <row r="19" spans="1:30">
      <c r="A19" s="301"/>
      <c r="B19" s="302"/>
      <c r="C19" s="302"/>
      <c r="D19" s="302" t="s">
        <v>119</v>
      </c>
      <c r="E19" s="304"/>
      <c r="F19" s="302"/>
      <c r="G19" s="302"/>
      <c r="H19" s="302"/>
      <c r="I19" s="301"/>
      <c r="J19" s="301"/>
      <c r="K19" s="301"/>
      <c r="L19" s="304"/>
      <c r="M19" s="302"/>
      <c r="N19" s="302"/>
      <c r="O19" s="301"/>
      <c r="P19" s="301"/>
      <c r="Q19" s="302"/>
      <c r="R19" s="347">
        <f t="shared" si="0"/>
        <v>0</v>
      </c>
      <c r="S19" s="348"/>
      <c r="T19" s="348"/>
      <c r="U19" s="348"/>
      <c r="V19" s="348"/>
      <c r="W19" s="348"/>
      <c r="X19" s="347">
        <f t="shared" si="1"/>
        <v>0</v>
      </c>
      <c r="Y19" s="348"/>
      <c r="Z19" s="348"/>
      <c r="AA19" s="348"/>
      <c r="AB19" s="348"/>
      <c r="AC19" s="348"/>
      <c r="AD19" s="349"/>
    </row>
    <row r="20" spans="1:30">
      <c r="A20" s="301"/>
      <c r="B20" s="302"/>
      <c r="C20" s="302"/>
      <c r="D20" s="302"/>
      <c r="E20" s="304"/>
      <c r="F20" s="302"/>
      <c r="G20" s="302"/>
      <c r="H20" s="302"/>
      <c r="I20" s="301"/>
      <c r="J20" s="301"/>
      <c r="K20" s="301"/>
      <c r="L20" s="304"/>
      <c r="M20" s="302"/>
      <c r="N20" s="302"/>
      <c r="O20" s="301"/>
      <c r="P20" s="301"/>
      <c r="Q20" s="302"/>
      <c r="R20" s="347">
        <f t="shared" si="0"/>
        <v>0</v>
      </c>
      <c r="S20" s="348"/>
      <c r="T20" s="348"/>
      <c r="U20" s="348"/>
      <c r="V20" s="348"/>
      <c r="W20" s="348"/>
      <c r="X20" s="347">
        <f t="shared" si="1"/>
        <v>0</v>
      </c>
      <c r="Y20" s="348"/>
      <c r="Z20" s="348"/>
      <c r="AA20" s="348"/>
      <c r="AB20" s="348"/>
      <c r="AC20" s="348"/>
      <c r="AD20" s="349"/>
    </row>
  </sheetData>
  <mergeCells count="37">
    <mergeCell ref="Z6:Z7"/>
    <mergeCell ref="AA6:AA7"/>
    <mergeCell ref="AB6:AB7"/>
    <mergeCell ref="AC6:AC7"/>
    <mergeCell ref="AD4:AD7"/>
    <mergeCell ref="E5:G5"/>
    <mergeCell ref="H5:N5"/>
    <mergeCell ref="S5:W5"/>
    <mergeCell ref="Y5:AC5"/>
    <mergeCell ref="F6:G6"/>
    <mergeCell ref="J6:K6"/>
    <mergeCell ref="M6:N6"/>
    <mergeCell ref="E6:E7"/>
    <mergeCell ref="H6:H7"/>
    <mergeCell ref="I6:I7"/>
    <mergeCell ref="L6:L7"/>
    <mergeCell ref="O4:O7"/>
    <mergeCell ref="P4:P7"/>
    <mergeCell ref="Q4:Q7"/>
    <mergeCell ref="R5:R7"/>
    <mergeCell ref="S6:S7"/>
    <mergeCell ref="A1:AD1"/>
    <mergeCell ref="A2:AD2"/>
    <mergeCell ref="A3:AD3"/>
    <mergeCell ref="E4:N4"/>
    <mergeCell ref="R4:W4"/>
    <mergeCell ref="X4:AC4"/>
    <mergeCell ref="A4:A7"/>
    <mergeCell ref="B4:B7"/>
    <mergeCell ref="C4:C7"/>
    <mergeCell ref="D4:D7"/>
    <mergeCell ref="T6:T7"/>
    <mergeCell ref="U6:U7"/>
    <mergeCell ref="V6:V7"/>
    <mergeCell ref="W6:W7"/>
    <mergeCell ref="X5:X7"/>
    <mergeCell ref="Y6:Y7"/>
  </mergeCells>
  <pageMargins left="0.39" right="0.34" top="0.4" bottom="0.75" header="0.42" footer="0.3"/>
  <pageSetup paperSize="8" scale="55"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Z58"/>
  <sheetViews>
    <sheetView topLeftCell="A10" zoomScale="55" zoomScaleNormal="55" zoomScaleSheetLayoutView="40" zoomScalePageLayoutView="40" workbookViewId="0">
      <selection activeCell="D15" sqref="D15"/>
    </sheetView>
  </sheetViews>
  <sheetFormatPr defaultColWidth="9.1796875" defaultRowHeight="15.5"/>
  <cols>
    <col min="1" max="1" width="6.7265625" style="3" customWidth="1"/>
    <col min="2" max="2" width="11.1796875" style="3" customWidth="1"/>
    <col min="3" max="3" width="10.7265625" style="3" customWidth="1"/>
    <col min="4" max="4" width="26.7265625" style="4" customWidth="1"/>
    <col min="5" max="5" width="12.54296875" style="8" customWidth="1"/>
    <col min="6" max="6" width="14" style="8" customWidth="1"/>
    <col min="7" max="7" width="14.54296875" style="8" customWidth="1"/>
    <col min="8" max="8" width="10.7265625" style="8" customWidth="1"/>
    <col min="9" max="9" width="16.54296875" style="3" customWidth="1"/>
    <col min="10" max="11" width="10.7265625" style="3" customWidth="1"/>
    <col min="12" max="12" width="12.1796875" style="8" customWidth="1"/>
    <col min="13" max="14" width="14.453125" style="8" customWidth="1"/>
    <col min="15" max="15" width="10.7265625" style="8" customWidth="1"/>
    <col min="16" max="16" width="11.7265625" style="3" customWidth="1"/>
    <col min="17" max="17" width="11.1796875" style="3" customWidth="1"/>
    <col min="18" max="18" width="11.453125" style="3" customWidth="1"/>
    <col min="19" max="19" width="10" style="3" customWidth="1"/>
    <col min="20" max="20" width="10.453125" style="3" customWidth="1"/>
    <col min="21" max="21" width="9.453125" style="3" customWidth="1"/>
    <col min="22" max="22" width="13.7265625" style="3" customWidth="1"/>
    <col min="23" max="23" width="15" style="3" customWidth="1"/>
    <col min="24" max="24" width="16.7265625" style="3" customWidth="1"/>
    <col min="25" max="25" width="9.81640625" style="8" customWidth="1"/>
    <col min="26" max="26" width="24" style="8" customWidth="1"/>
    <col min="27" max="27" width="9.1796875" style="8"/>
    <col min="28" max="28" width="11.7265625" style="8" customWidth="1"/>
    <col min="29" max="16384" width="9.1796875" style="8"/>
  </cols>
  <sheetData>
    <row r="1" spans="1:26" ht="36" customHeight="1">
      <c r="A1" s="566" t="s">
        <v>456</v>
      </c>
      <c r="B1" s="567"/>
      <c r="C1" s="567"/>
      <c r="D1" s="567"/>
      <c r="E1" s="567"/>
      <c r="F1" s="567"/>
      <c r="G1" s="567"/>
      <c r="H1" s="567"/>
      <c r="I1" s="567"/>
      <c r="J1" s="567"/>
      <c r="K1" s="567"/>
      <c r="L1" s="567"/>
      <c r="M1" s="567"/>
      <c r="N1" s="567"/>
      <c r="O1" s="567"/>
      <c r="P1" s="567"/>
      <c r="Q1" s="568"/>
      <c r="R1" s="568"/>
      <c r="S1" s="568"/>
      <c r="T1" s="568"/>
      <c r="U1" s="568"/>
      <c r="V1" s="568"/>
      <c r="W1" s="568"/>
      <c r="X1" s="568"/>
    </row>
    <row r="2" spans="1:26" ht="36" customHeight="1">
      <c r="A2" s="566" t="s">
        <v>457</v>
      </c>
      <c r="B2" s="567"/>
      <c r="C2" s="567"/>
      <c r="D2" s="567"/>
      <c r="E2" s="567"/>
      <c r="F2" s="567"/>
      <c r="G2" s="567"/>
      <c r="H2" s="567"/>
      <c r="I2" s="567"/>
      <c r="J2" s="567"/>
      <c r="K2" s="567"/>
      <c r="L2" s="567"/>
      <c r="M2" s="567"/>
      <c r="N2" s="567"/>
      <c r="O2" s="567"/>
      <c r="P2" s="567"/>
      <c r="Q2" s="568"/>
      <c r="R2" s="568"/>
      <c r="S2" s="568"/>
      <c r="T2" s="568"/>
      <c r="U2" s="568"/>
      <c r="V2" s="568"/>
      <c r="W2" s="568"/>
      <c r="X2" s="568"/>
    </row>
    <row r="3" spans="1:26" ht="33" customHeight="1">
      <c r="A3" s="515" t="s">
        <v>2</v>
      </c>
      <c r="B3" s="516"/>
      <c r="C3" s="516"/>
      <c r="D3" s="516"/>
      <c r="E3" s="516"/>
      <c r="F3" s="516"/>
      <c r="G3" s="516"/>
      <c r="H3" s="516"/>
      <c r="I3" s="516"/>
      <c r="J3" s="516"/>
      <c r="K3" s="516"/>
      <c r="L3" s="516"/>
      <c r="M3" s="516"/>
      <c r="N3" s="516"/>
      <c r="O3" s="516"/>
      <c r="P3" s="516"/>
      <c r="Q3" s="517"/>
      <c r="R3" s="517"/>
      <c r="S3" s="517"/>
      <c r="T3" s="517"/>
      <c r="U3" s="517"/>
      <c r="V3" s="517"/>
      <c r="W3" s="517"/>
      <c r="X3" s="517"/>
    </row>
    <row r="4" spans="1:26" s="4" customFormat="1" ht="108.75" customHeight="1">
      <c r="A4" s="493" t="s">
        <v>3</v>
      </c>
      <c r="B4" s="493" t="s">
        <v>4</v>
      </c>
      <c r="C4" s="493" t="s">
        <v>5</v>
      </c>
      <c r="D4" s="496" t="s">
        <v>7</v>
      </c>
      <c r="E4" s="493" t="s">
        <v>153</v>
      </c>
      <c r="F4" s="493"/>
      <c r="G4" s="493"/>
      <c r="H4" s="493"/>
      <c r="I4" s="493"/>
      <c r="J4" s="493"/>
      <c r="K4" s="493"/>
      <c r="L4" s="493"/>
      <c r="M4" s="493"/>
      <c r="N4" s="493"/>
      <c r="O4" s="496" t="s">
        <v>9</v>
      </c>
      <c r="P4" s="518" t="s">
        <v>154</v>
      </c>
      <c r="Q4" s="519"/>
      <c r="R4" s="518" t="s">
        <v>458</v>
      </c>
      <c r="S4" s="519"/>
      <c r="T4" s="518" t="s">
        <v>156</v>
      </c>
      <c r="U4" s="519"/>
      <c r="V4" s="518" t="s">
        <v>157</v>
      </c>
      <c r="W4" s="519"/>
      <c r="X4" s="496" t="s">
        <v>14</v>
      </c>
    </row>
    <row r="5" spans="1:26" s="4" customFormat="1" ht="52.5" customHeight="1">
      <c r="A5" s="493"/>
      <c r="B5" s="493"/>
      <c r="C5" s="493"/>
      <c r="D5" s="496"/>
      <c r="E5" s="493" t="s">
        <v>15</v>
      </c>
      <c r="F5" s="493"/>
      <c r="G5" s="493"/>
      <c r="H5" s="493" t="s">
        <v>16</v>
      </c>
      <c r="I5" s="493"/>
      <c r="J5" s="493"/>
      <c r="K5" s="493"/>
      <c r="L5" s="493"/>
      <c r="M5" s="493"/>
      <c r="N5" s="493"/>
      <c r="O5" s="496"/>
      <c r="P5" s="520" t="s">
        <v>285</v>
      </c>
      <c r="Q5" s="520" t="s">
        <v>459</v>
      </c>
      <c r="R5" s="520" t="s">
        <v>285</v>
      </c>
      <c r="S5" s="520" t="s">
        <v>286</v>
      </c>
      <c r="T5" s="520" t="s">
        <v>285</v>
      </c>
      <c r="U5" s="520" t="s">
        <v>459</v>
      </c>
      <c r="V5" s="520" t="s">
        <v>285</v>
      </c>
      <c r="W5" s="520" t="s">
        <v>459</v>
      </c>
      <c r="X5" s="496"/>
    </row>
    <row r="6" spans="1:26" s="4" customFormat="1" ht="39.75" customHeight="1">
      <c r="A6" s="493"/>
      <c r="B6" s="493"/>
      <c r="C6" s="493"/>
      <c r="D6" s="496"/>
      <c r="E6" s="496" t="s">
        <v>22</v>
      </c>
      <c r="F6" s="503" t="s">
        <v>23</v>
      </c>
      <c r="G6" s="503"/>
      <c r="H6" s="496" t="s">
        <v>24</v>
      </c>
      <c r="I6" s="496" t="s">
        <v>25</v>
      </c>
      <c r="J6" s="496" t="s">
        <v>26</v>
      </c>
      <c r="K6" s="496"/>
      <c r="L6" s="496" t="s">
        <v>22</v>
      </c>
      <c r="M6" s="503" t="s">
        <v>23</v>
      </c>
      <c r="N6" s="503"/>
      <c r="O6" s="496"/>
      <c r="P6" s="564"/>
      <c r="Q6" s="564"/>
      <c r="R6" s="564"/>
      <c r="S6" s="564"/>
      <c r="T6" s="564"/>
      <c r="U6" s="564"/>
      <c r="V6" s="564"/>
      <c r="W6" s="564"/>
      <c r="X6" s="496"/>
    </row>
    <row r="7" spans="1:26" s="4" customFormat="1" ht="95.25" customHeight="1">
      <c r="A7" s="493"/>
      <c r="B7" s="493"/>
      <c r="C7" s="493"/>
      <c r="D7" s="496"/>
      <c r="E7" s="496"/>
      <c r="F7" s="181" t="s">
        <v>285</v>
      </c>
      <c r="G7" s="181" t="s">
        <v>460</v>
      </c>
      <c r="H7" s="496"/>
      <c r="I7" s="496"/>
      <c r="J7" s="180" t="s">
        <v>40</v>
      </c>
      <c r="K7" s="180" t="s">
        <v>41</v>
      </c>
      <c r="L7" s="496"/>
      <c r="M7" s="181" t="s">
        <v>285</v>
      </c>
      <c r="N7" s="181" t="s">
        <v>460</v>
      </c>
      <c r="O7" s="496"/>
      <c r="P7" s="565"/>
      <c r="Q7" s="565"/>
      <c r="R7" s="565"/>
      <c r="S7" s="565"/>
      <c r="T7" s="565"/>
      <c r="U7" s="565"/>
      <c r="V7" s="565"/>
      <c r="W7" s="565"/>
      <c r="X7" s="496"/>
    </row>
    <row r="8" spans="1:26" ht="22.5" customHeight="1">
      <c r="A8" s="265">
        <v>1</v>
      </c>
      <c r="B8" s="265">
        <v>2</v>
      </c>
      <c r="C8" s="265">
        <v>3</v>
      </c>
      <c r="D8" s="309">
        <v>4</v>
      </c>
      <c r="E8" s="265">
        <v>5</v>
      </c>
      <c r="F8" s="265">
        <v>6</v>
      </c>
      <c r="G8" s="265">
        <v>7</v>
      </c>
      <c r="H8" s="265">
        <v>8</v>
      </c>
      <c r="I8" s="265">
        <v>9</v>
      </c>
      <c r="J8" s="265">
        <v>10</v>
      </c>
      <c r="K8" s="265">
        <v>11</v>
      </c>
      <c r="L8" s="265">
        <v>12</v>
      </c>
      <c r="M8" s="265">
        <v>13</v>
      </c>
      <c r="N8" s="265">
        <v>14</v>
      </c>
      <c r="O8" s="265">
        <v>15</v>
      </c>
      <c r="P8" s="265">
        <v>16</v>
      </c>
      <c r="Q8" s="265">
        <v>17</v>
      </c>
      <c r="R8" s="265">
        <v>18</v>
      </c>
      <c r="S8" s="265">
        <v>19</v>
      </c>
      <c r="T8" s="265" t="s">
        <v>160</v>
      </c>
      <c r="U8" s="265" t="s">
        <v>161</v>
      </c>
      <c r="V8" s="265">
        <v>22</v>
      </c>
      <c r="W8" s="265">
        <v>23</v>
      </c>
      <c r="X8" s="265">
        <v>24</v>
      </c>
      <c r="Z8" s="342"/>
    </row>
    <row r="9" spans="1:26" s="81" customFormat="1" ht="36" customHeight="1">
      <c r="A9" s="266"/>
      <c r="B9" s="266"/>
      <c r="C9" s="266"/>
      <c r="D9" s="10" t="s">
        <v>60</v>
      </c>
      <c r="E9" s="268"/>
      <c r="F9" s="310">
        <f>F10+F11+F57</f>
        <v>875000</v>
      </c>
      <c r="G9" s="310">
        <f>G10+G11+G57</f>
        <v>875000</v>
      </c>
      <c r="H9" s="267"/>
      <c r="I9" s="266"/>
      <c r="J9" s="266"/>
      <c r="K9" s="266"/>
      <c r="L9" s="267"/>
      <c r="M9" s="310">
        <f>M10+M11+M57</f>
        <v>875000</v>
      </c>
      <c r="N9" s="310">
        <f>N10+N11+N57</f>
        <v>875000</v>
      </c>
      <c r="O9" s="267"/>
      <c r="P9" s="266"/>
      <c r="Q9" s="266"/>
      <c r="R9" s="266"/>
      <c r="S9" s="266"/>
      <c r="T9" s="266"/>
      <c r="U9" s="266"/>
      <c r="V9" s="310">
        <f>V10+V11+V57</f>
        <v>875000</v>
      </c>
      <c r="W9" s="310">
        <f>W10+W11+W57</f>
        <v>875000</v>
      </c>
      <c r="X9" s="266"/>
      <c r="Z9" s="343">
        <v>824000</v>
      </c>
    </row>
    <row r="10" spans="1:26" s="81" customFormat="1" ht="81.75" customHeight="1">
      <c r="A10" s="36" t="s">
        <v>61</v>
      </c>
      <c r="B10" s="36"/>
      <c r="C10" s="36"/>
      <c r="D10" s="36" t="s">
        <v>162</v>
      </c>
      <c r="E10" s="270"/>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c r="Z10" s="174">
        <f>F9+'4.Tinh HTMT 26-30'!F9+'2.Tinh 26-30'!F9+'1.Trung uong 26-30'!F9</f>
        <v>4183000</v>
      </c>
    </row>
    <row r="11" spans="1:26" s="81" customFormat="1" ht="72.75" customHeight="1">
      <c r="A11" s="36" t="s">
        <v>75</v>
      </c>
      <c r="B11" s="36"/>
      <c r="C11" s="36"/>
      <c r="D11" s="36" t="s">
        <v>163</v>
      </c>
      <c r="E11" s="271"/>
      <c r="F11" s="311">
        <f>F12+F26+F29+F38+F42+F44+F46+F53</f>
        <v>865000</v>
      </c>
      <c r="G11" s="311">
        <f>G12+G26+G29+G38+G42+G44+G46+G53</f>
        <v>865000</v>
      </c>
      <c r="H11" s="37"/>
      <c r="I11" s="36"/>
      <c r="J11" s="36"/>
      <c r="K11" s="36"/>
      <c r="L11" s="271"/>
      <c r="M11" s="311">
        <f>M12+M26+M29+M38+M42+M44+M46+M53</f>
        <v>865000</v>
      </c>
      <c r="N11" s="311">
        <f>N12+N26+N29+N38+N42+N44+N46+N53</f>
        <v>865000</v>
      </c>
      <c r="O11" s="37"/>
      <c r="P11" s="36"/>
      <c r="Q11" s="36"/>
      <c r="R11" s="36"/>
      <c r="S11" s="285"/>
      <c r="T11" s="285"/>
      <c r="U11" s="36"/>
      <c r="V11" s="311">
        <f>V12+V26+V29+V38+V42+V44+V46+V53</f>
        <v>865000</v>
      </c>
      <c r="W11" s="311">
        <f>W12+W26+W29+W38+W42+W44+W46+W53</f>
        <v>865000</v>
      </c>
      <c r="X11" s="36"/>
      <c r="Y11" s="311">
        <f>Y12+Y26+Y29+Y38+Y42+Y44+Y46+Y53</f>
        <v>36</v>
      </c>
      <c r="Z11" s="174">
        <v>90000</v>
      </c>
    </row>
    <row r="12" spans="1:26" ht="48" customHeight="1">
      <c r="A12" s="43" t="s">
        <v>218</v>
      </c>
      <c r="B12" s="569" t="s">
        <v>461</v>
      </c>
      <c r="C12" s="570"/>
      <c r="D12" s="571"/>
      <c r="E12" s="119"/>
      <c r="F12" s="118">
        <f>SUM(F13:F25)</f>
        <v>520000</v>
      </c>
      <c r="G12" s="118">
        <f>SUM(G13:G25)</f>
        <v>520000</v>
      </c>
      <c r="H12" s="312"/>
      <c r="I12" s="312"/>
      <c r="J12" s="312"/>
      <c r="K12" s="312"/>
      <c r="L12" s="119"/>
      <c r="M12" s="118">
        <f>SUM(M13:M25)</f>
        <v>520000</v>
      </c>
      <c r="N12" s="118">
        <f>SUM(N13:N25)</f>
        <v>520000</v>
      </c>
      <c r="O12" s="312"/>
      <c r="P12" s="333"/>
      <c r="Q12" s="333"/>
      <c r="R12" s="333"/>
      <c r="S12" s="333"/>
      <c r="T12" s="333"/>
      <c r="U12" s="333"/>
      <c r="V12" s="118">
        <f>SUM(V13:V25)</f>
        <v>520000</v>
      </c>
      <c r="W12" s="118">
        <f>SUM(W13:W25)</f>
        <v>520000</v>
      </c>
      <c r="X12" s="312"/>
      <c r="Y12" s="8">
        <v>13</v>
      </c>
      <c r="Z12" s="137">
        <v>42000</v>
      </c>
    </row>
    <row r="13" spans="1:26" ht="98.25" customHeight="1">
      <c r="A13" s="18">
        <v>1</v>
      </c>
      <c r="B13" s="18" t="s">
        <v>63</v>
      </c>
      <c r="C13" s="18" t="s">
        <v>164</v>
      </c>
      <c r="D13" s="15" t="s">
        <v>462</v>
      </c>
      <c r="E13" s="240"/>
      <c r="F13" s="135">
        <v>23000</v>
      </c>
      <c r="G13" s="135">
        <v>23000</v>
      </c>
      <c r="H13" s="18" t="s">
        <v>166</v>
      </c>
      <c r="I13" s="18" t="s">
        <v>463</v>
      </c>
      <c r="J13" s="18">
        <v>2026</v>
      </c>
      <c r="K13" s="18">
        <v>2027</v>
      </c>
      <c r="L13" s="240"/>
      <c r="M13" s="137">
        <f>N13</f>
        <v>23000</v>
      </c>
      <c r="N13" s="137">
        <f>G13</f>
        <v>23000</v>
      </c>
      <c r="O13" s="18">
        <v>2026</v>
      </c>
      <c r="P13" s="282"/>
      <c r="Q13" s="282"/>
      <c r="R13" s="282"/>
      <c r="S13" s="282"/>
      <c r="T13" s="282"/>
      <c r="U13" s="282"/>
      <c r="V13" s="282">
        <f>W13</f>
        <v>23000</v>
      </c>
      <c r="W13" s="282">
        <f>N13</f>
        <v>23000</v>
      </c>
      <c r="X13" s="18"/>
      <c r="Z13" s="137">
        <v>40000</v>
      </c>
    </row>
    <row r="14" spans="1:26" ht="83.25" customHeight="1">
      <c r="A14" s="18">
        <v>2</v>
      </c>
      <c r="B14" s="18" t="s">
        <v>63</v>
      </c>
      <c r="C14" s="18" t="s">
        <v>164</v>
      </c>
      <c r="D14" s="15" t="s">
        <v>464</v>
      </c>
      <c r="E14" s="240"/>
      <c r="F14" s="135">
        <v>17000</v>
      </c>
      <c r="G14" s="135">
        <v>17000</v>
      </c>
      <c r="H14" s="18" t="s">
        <v>166</v>
      </c>
      <c r="I14" s="18" t="s">
        <v>465</v>
      </c>
      <c r="J14" s="18">
        <v>2026</v>
      </c>
      <c r="K14" s="18">
        <v>2027</v>
      </c>
      <c r="L14" s="240"/>
      <c r="M14" s="137">
        <f t="shared" ref="M14:M23" si="0">N14</f>
        <v>17000</v>
      </c>
      <c r="N14" s="137">
        <f t="shared" ref="N14:N23" si="1">G14</f>
        <v>17000</v>
      </c>
      <c r="O14" s="18">
        <v>2026</v>
      </c>
      <c r="P14" s="282"/>
      <c r="Q14" s="282"/>
      <c r="R14" s="282"/>
      <c r="S14" s="282"/>
      <c r="T14" s="282"/>
      <c r="U14" s="282"/>
      <c r="V14" s="282">
        <f t="shared" ref="V14:V22" si="2">W14</f>
        <v>17000</v>
      </c>
      <c r="W14" s="282">
        <f t="shared" ref="W14:W22" si="3">N14</f>
        <v>17000</v>
      </c>
      <c r="X14" s="18"/>
      <c r="Z14" s="264">
        <f>Z10-19000-10000-13000</f>
        <v>4141000</v>
      </c>
    </row>
    <row r="15" spans="1:26" ht="88.5" customHeight="1">
      <c r="A15" s="18">
        <v>3</v>
      </c>
      <c r="B15" s="18" t="s">
        <v>63</v>
      </c>
      <c r="C15" s="18" t="s">
        <v>164</v>
      </c>
      <c r="D15" s="49" t="s">
        <v>466</v>
      </c>
      <c r="E15" s="240"/>
      <c r="F15" s="135">
        <v>45000</v>
      </c>
      <c r="G15" s="135">
        <v>45000</v>
      </c>
      <c r="H15" s="18" t="s">
        <v>166</v>
      </c>
      <c r="I15" s="18" t="s">
        <v>467</v>
      </c>
      <c r="J15" s="18">
        <v>2027</v>
      </c>
      <c r="K15" s="18">
        <v>2029</v>
      </c>
      <c r="L15" s="240"/>
      <c r="M15" s="137">
        <f t="shared" si="0"/>
        <v>45000</v>
      </c>
      <c r="N15" s="137">
        <f t="shared" si="1"/>
        <v>45000</v>
      </c>
      <c r="O15" s="18">
        <v>2027</v>
      </c>
      <c r="P15" s="282"/>
      <c r="Q15" s="282"/>
      <c r="R15" s="282"/>
      <c r="S15" s="282"/>
      <c r="T15" s="282"/>
      <c r="U15" s="282"/>
      <c r="V15" s="282">
        <f t="shared" si="2"/>
        <v>45000</v>
      </c>
      <c r="W15" s="282">
        <f t="shared" si="3"/>
        <v>45000</v>
      </c>
      <c r="X15" s="18"/>
      <c r="Z15" s="342">
        <f>'1.Trung uong 26-30'!F11+'2.Tinh 26-30'!F9+'4.Tinh HTMT 26-30'!F9+'3.Xa 26-30'!F9</f>
        <v>4183000</v>
      </c>
    </row>
    <row r="16" spans="1:26" ht="87" customHeight="1">
      <c r="A16" s="18">
        <v>4</v>
      </c>
      <c r="B16" s="14" t="s">
        <v>63</v>
      </c>
      <c r="C16" s="14" t="s">
        <v>164</v>
      </c>
      <c r="D16" s="15" t="s">
        <v>468</v>
      </c>
      <c r="E16" s="313"/>
      <c r="F16" s="314">
        <v>30000</v>
      </c>
      <c r="G16" s="314">
        <v>30000</v>
      </c>
      <c r="H16" s="14" t="s">
        <v>166</v>
      </c>
      <c r="I16" s="14" t="s">
        <v>469</v>
      </c>
      <c r="J16" s="14">
        <v>2027</v>
      </c>
      <c r="K16" s="14">
        <v>2028</v>
      </c>
      <c r="L16" s="313"/>
      <c r="M16" s="124">
        <f t="shared" si="0"/>
        <v>30000</v>
      </c>
      <c r="N16" s="124">
        <f t="shared" si="1"/>
        <v>30000</v>
      </c>
      <c r="O16" s="14">
        <v>2027</v>
      </c>
      <c r="P16" s="334"/>
      <c r="Q16" s="334"/>
      <c r="R16" s="334"/>
      <c r="S16" s="334"/>
      <c r="T16" s="334"/>
      <c r="U16" s="334"/>
      <c r="V16" s="334">
        <f t="shared" si="2"/>
        <v>30000</v>
      </c>
      <c r="W16" s="334">
        <f t="shared" si="3"/>
        <v>30000</v>
      </c>
      <c r="X16" s="14"/>
      <c r="Z16" s="342">
        <f>Z9+19000+10000+13000</f>
        <v>866000</v>
      </c>
    </row>
    <row r="17" spans="1:26" s="4" customFormat="1" ht="126.75" customHeight="1">
      <c r="A17" s="18">
        <v>5</v>
      </c>
      <c r="B17" s="14" t="s">
        <v>63</v>
      </c>
      <c r="C17" s="14" t="s">
        <v>164</v>
      </c>
      <c r="D17" s="15" t="s">
        <v>470</v>
      </c>
      <c r="E17" s="313"/>
      <c r="F17" s="124">
        <v>75000</v>
      </c>
      <c r="G17" s="124">
        <v>75000</v>
      </c>
      <c r="H17" s="14" t="s">
        <v>471</v>
      </c>
      <c r="I17" s="14" t="s">
        <v>472</v>
      </c>
      <c r="J17" s="14">
        <v>2028</v>
      </c>
      <c r="K17" s="14">
        <v>2030</v>
      </c>
      <c r="L17" s="313"/>
      <c r="M17" s="124">
        <f t="shared" si="0"/>
        <v>75000</v>
      </c>
      <c r="N17" s="124">
        <f t="shared" si="1"/>
        <v>75000</v>
      </c>
      <c r="O17" s="18">
        <v>2028</v>
      </c>
      <c r="P17" s="334"/>
      <c r="Q17" s="334"/>
      <c r="R17" s="334"/>
      <c r="S17" s="334"/>
      <c r="T17" s="334"/>
      <c r="U17" s="334"/>
      <c r="V17" s="334">
        <f t="shared" si="2"/>
        <v>75000</v>
      </c>
      <c r="W17" s="334">
        <f t="shared" si="3"/>
        <v>75000</v>
      </c>
      <c r="X17" s="14"/>
    </row>
    <row r="18" spans="1:26" ht="126.75" customHeight="1">
      <c r="A18" s="18">
        <v>6</v>
      </c>
      <c r="B18" s="18" t="s">
        <v>63</v>
      </c>
      <c r="C18" s="18" t="s">
        <v>164</v>
      </c>
      <c r="D18" s="15" t="s">
        <v>473</v>
      </c>
      <c r="E18" s="240"/>
      <c r="F18" s="135">
        <v>19000</v>
      </c>
      <c r="G18" s="135">
        <v>19000</v>
      </c>
      <c r="H18" s="18" t="s">
        <v>166</v>
      </c>
      <c r="I18" s="18" t="s">
        <v>463</v>
      </c>
      <c r="J18" s="18">
        <v>2028</v>
      </c>
      <c r="K18" s="18">
        <v>2029</v>
      </c>
      <c r="L18" s="240"/>
      <c r="M18" s="137">
        <f t="shared" si="0"/>
        <v>19000</v>
      </c>
      <c r="N18" s="137">
        <f t="shared" si="1"/>
        <v>19000</v>
      </c>
      <c r="O18" s="18">
        <v>2028</v>
      </c>
      <c r="P18" s="282"/>
      <c r="Q18" s="282"/>
      <c r="R18" s="282"/>
      <c r="S18" s="282"/>
      <c r="T18" s="282"/>
      <c r="U18" s="282"/>
      <c r="V18" s="282">
        <f t="shared" si="2"/>
        <v>19000</v>
      </c>
      <c r="W18" s="282">
        <f t="shared" si="3"/>
        <v>19000</v>
      </c>
      <c r="X18" s="18"/>
    </row>
    <row r="19" spans="1:26" ht="63.75" customHeight="1">
      <c r="A19" s="18">
        <v>7</v>
      </c>
      <c r="B19" s="18" t="s">
        <v>63</v>
      </c>
      <c r="C19" s="18" t="s">
        <v>164</v>
      </c>
      <c r="D19" s="15" t="s">
        <v>474</v>
      </c>
      <c r="E19" s="240"/>
      <c r="F19" s="137">
        <v>21000</v>
      </c>
      <c r="G19" s="137">
        <v>21000</v>
      </c>
      <c r="H19" s="18" t="s">
        <v>471</v>
      </c>
      <c r="I19" s="18" t="s">
        <v>475</v>
      </c>
      <c r="J19" s="18">
        <v>2028</v>
      </c>
      <c r="K19" s="18">
        <v>2029</v>
      </c>
      <c r="L19" s="240"/>
      <c r="M19" s="137">
        <f t="shared" si="0"/>
        <v>21000</v>
      </c>
      <c r="N19" s="137">
        <f t="shared" si="1"/>
        <v>21000</v>
      </c>
      <c r="O19" s="18">
        <v>2028</v>
      </c>
      <c r="P19" s="282"/>
      <c r="Q19" s="282"/>
      <c r="R19" s="282"/>
      <c r="S19" s="282"/>
      <c r="T19" s="282"/>
      <c r="U19" s="282"/>
      <c r="V19" s="282">
        <f t="shared" si="2"/>
        <v>21000</v>
      </c>
      <c r="W19" s="282">
        <f t="shared" si="3"/>
        <v>21000</v>
      </c>
      <c r="X19" s="18"/>
    </row>
    <row r="20" spans="1:26" ht="88.5" customHeight="1">
      <c r="A20" s="18">
        <v>8</v>
      </c>
      <c r="B20" s="18" t="s">
        <v>63</v>
      </c>
      <c r="C20" s="18" t="s">
        <v>164</v>
      </c>
      <c r="D20" s="15" t="s">
        <v>476</v>
      </c>
      <c r="E20" s="240"/>
      <c r="F20" s="137">
        <v>95000</v>
      </c>
      <c r="G20" s="137">
        <v>95000</v>
      </c>
      <c r="H20" s="18" t="s">
        <v>471</v>
      </c>
      <c r="I20" s="18" t="s">
        <v>477</v>
      </c>
      <c r="J20" s="18">
        <v>2029</v>
      </c>
      <c r="K20" s="18">
        <v>2030</v>
      </c>
      <c r="L20" s="240"/>
      <c r="M20" s="137">
        <f t="shared" si="0"/>
        <v>95000</v>
      </c>
      <c r="N20" s="137">
        <f t="shared" si="1"/>
        <v>95000</v>
      </c>
      <c r="O20" s="18">
        <v>2029</v>
      </c>
      <c r="P20" s="282"/>
      <c r="Q20" s="282"/>
      <c r="R20" s="282"/>
      <c r="S20" s="282"/>
      <c r="T20" s="282"/>
      <c r="U20" s="282"/>
      <c r="V20" s="282">
        <f t="shared" si="2"/>
        <v>95000</v>
      </c>
      <c r="W20" s="282">
        <f t="shared" si="3"/>
        <v>95000</v>
      </c>
      <c r="X20" s="18"/>
    </row>
    <row r="21" spans="1:26" s="4" customFormat="1" ht="90" customHeight="1">
      <c r="A21" s="18">
        <v>9</v>
      </c>
      <c r="B21" s="14" t="s">
        <v>63</v>
      </c>
      <c r="C21" s="14" t="s">
        <v>164</v>
      </c>
      <c r="D21" s="15" t="s">
        <v>478</v>
      </c>
      <c r="E21" s="313"/>
      <c r="F21" s="124">
        <v>55000</v>
      </c>
      <c r="G21" s="124">
        <v>55000</v>
      </c>
      <c r="H21" s="14" t="s">
        <v>471</v>
      </c>
      <c r="I21" s="14" t="s">
        <v>467</v>
      </c>
      <c r="J21" s="14">
        <v>2029</v>
      </c>
      <c r="K21" s="14">
        <v>2030</v>
      </c>
      <c r="L21" s="313"/>
      <c r="M21" s="124">
        <f t="shared" si="0"/>
        <v>55000</v>
      </c>
      <c r="N21" s="124">
        <f t="shared" si="1"/>
        <v>55000</v>
      </c>
      <c r="O21" s="18">
        <v>2029</v>
      </c>
      <c r="P21" s="334"/>
      <c r="Q21" s="334"/>
      <c r="R21" s="334"/>
      <c r="S21" s="334"/>
      <c r="T21" s="334"/>
      <c r="U21" s="334"/>
      <c r="V21" s="334">
        <f t="shared" si="2"/>
        <v>55000</v>
      </c>
      <c r="W21" s="334">
        <f t="shared" si="3"/>
        <v>55000</v>
      </c>
      <c r="X21" s="14"/>
    </row>
    <row r="22" spans="1:26" s="4" customFormat="1" ht="73.5" customHeight="1">
      <c r="A22" s="18">
        <v>10</v>
      </c>
      <c r="B22" s="14" t="s">
        <v>63</v>
      </c>
      <c r="C22" s="14" t="s">
        <v>164</v>
      </c>
      <c r="D22" s="15" t="s">
        <v>479</v>
      </c>
      <c r="E22" s="313"/>
      <c r="F22" s="124">
        <v>92000</v>
      </c>
      <c r="G22" s="124">
        <v>92000</v>
      </c>
      <c r="H22" s="14" t="s">
        <v>471</v>
      </c>
      <c r="I22" s="14" t="s">
        <v>463</v>
      </c>
      <c r="J22" s="14">
        <v>2029</v>
      </c>
      <c r="K22" s="14">
        <v>2030</v>
      </c>
      <c r="L22" s="313"/>
      <c r="M22" s="124">
        <f t="shared" si="0"/>
        <v>92000</v>
      </c>
      <c r="N22" s="124">
        <f t="shared" si="1"/>
        <v>92000</v>
      </c>
      <c r="O22" s="18">
        <v>2029</v>
      </c>
      <c r="P22" s="334"/>
      <c r="Q22" s="334"/>
      <c r="R22" s="334"/>
      <c r="S22" s="334"/>
      <c r="T22" s="334"/>
      <c r="U22" s="334"/>
      <c r="V22" s="334">
        <f t="shared" si="2"/>
        <v>92000</v>
      </c>
      <c r="W22" s="334">
        <f t="shared" si="3"/>
        <v>92000</v>
      </c>
      <c r="X22" s="14"/>
    </row>
    <row r="23" spans="1:26" s="4" customFormat="1" ht="69" customHeight="1">
      <c r="A23" s="18">
        <v>11</v>
      </c>
      <c r="B23" s="14" t="s">
        <v>63</v>
      </c>
      <c r="C23" s="14" t="s">
        <v>164</v>
      </c>
      <c r="D23" s="15" t="s">
        <v>480</v>
      </c>
      <c r="E23" s="313"/>
      <c r="F23" s="124">
        <v>25000</v>
      </c>
      <c r="G23" s="124">
        <v>25000</v>
      </c>
      <c r="H23" s="14" t="s">
        <v>471</v>
      </c>
      <c r="I23" s="14" t="s">
        <v>481</v>
      </c>
      <c r="J23" s="14">
        <v>2029</v>
      </c>
      <c r="K23" s="14">
        <v>2030</v>
      </c>
      <c r="L23" s="313"/>
      <c r="M23" s="124">
        <f t="shared" si="0"/>
        <v>25000</v>
      </c>
      <c r="N23" s="124">
        <f t="shared" si="1"/>
        <v>25000</v>
      </c>
      <c r="O23" s="18">
        <v>2029</v>
      </c>
      <c r="P23" s="334"/>
      <c r="Q23" s="334"/>
      <c r="R23" s="334"/>
      <c r="S23" s="334"/>
      <c r="T23" s="334"/>
      <c r="U23" s="334"/>
      <c r="V23" s="334">
        <f t="shared" ref="V23:V25" si="4">W23</f>
        <v>25000</v>
      </c>
      <c r="W23" s="334">
        <f t="shared" ref="W23:W25" si="5">N23</f>
        <v>25000</v>
      </c>
      <c r="X23" s="14"/>
    </row>
    <row r="24" spans="1:26" ht="78" customHeight="1">
      <c r="A24" s="18">
        <v>12</v>
      </c>
      <c r="B24" s="18" t="s">
        <v>63</v>
      </c>
      <c r="C24" s="18" t="s">
        <v>164</v>
      </c>
      <c r="D24" s="15" t="s">
        <v>482</v>
      </c>
      <c r="E24" s="240"/>
      <c r="F24" s="135">
        <v>15000</v>
      </c>
      <c r="G24" s="135">
        <v>15000</v>
      </c>
      <c r="H24" s="18" t="s">
        <v>166</v>
      </c>
      <c r="I24" s="18" t="s">
        <v>483</v>
      </c>
      <c r="J24" s="18">
        <v>2030</v>
      </c>
      <c r="K24" s="18">
        <v>2031</v>
      </c>
      <c r="L24" s="240"/>
      <c r="M24" s="137">
        <f t="shared" ref="M24" si="6">N24</f>
        <v>15000</v>
      </c>
      <c r="N24" s="137">
        <f t="shared" ref="N24" si="7">G24</f>
        <v>15000</v>
      </c>
      <c r="O24" s="18">
        <v>2030</v>
      </c>
      <c r="P24" s="282"/>
      <c r="Q24" s="282"/>
      <c r="R24" s="282"/>
      <c r="S24" s="282"/>
      <c r="T24" s="282"/>
      <c r="U24" s="282"/>
      <c r="V24" s="282">
        <f t="shared" si="4"/>
        <v>15000</v>
      </c>
      <c r="W24" s="282">
        <f t="shared" si="5"/>
        <v>15000</v>
      </c>
      <c r="X24" s="18"/>
    </row>
    <row r="25" spans="1:26" s="4" customFormat="1" ht="78" customHeight="1">
      <c r="A25" s="18">
        <v>13</v>
      </c>
      <c r="B25" s="14" t="s">
        <v>63</v>
      </c>
      <c r="C25" s="14" t="s">
        <v>164</v>
      </c>
      <c r="D25" s="15" t="s">
        <v>484</v>
      </c>
      <c r="E25" s="313"/>
      <c r="F25" s="124">
        <v>8000</v>
      </c>
      <c r="G25" s="124">
        <v>8000</v>
      </c>
      <c r="H25" s="14" t="s">
        <v>471</v>
      </c>
      <c r="I25" s="14" t="s">
        <v>485</v>
      </c>
      <c r="J25" s="14">
        <v>2030</v>
      </c>
      <c r="K25" s="14">
        <v>2031</v>
      </c>
      <c r="L25" s="313"/>
      <c r="M25" s="124">
        <f t="shared" ref="M25" si="8">N25</f>
        <v>8000</v>
      </c>
      <c r="N25" s="124">
        <f t="shared" ref="N25" si="9">G25</f>
        <v>8000</v>
      </c>
      <c r="O25" s="18">
        <v>23030</v>
      </c>
      <c r="P25" s="334"/>
      <c r="Q25" s="334"/>
      <c r="R25" s="334"/>
      <c r="S25" s="334"/>
      <c r="T25" s="334"/>
      <c r="U25" s="334"/>
      <c r="V25" s="334">
        <f t="shared" si="4"/>
        <v>8000</v>
      </c>
      <c r="W25" s="334">
        <f t="shared" si="5"/>
        <v>8000</v>
      </c>
      <c r="X25" s="14"/>
    </row>
    <row r="26" spans="1:26" ht="48" customHeight="1">
      <c r="A26" s="43" t="s">
        <v>486</v>
      </c>
      <c r="B26" s="569" t="s">
        <v>487</v>
      </c>
      <c r="C26" s="570"/>
      <c r="D26" s="571"/>
      <c r="E26" s="119"/>
      <c r="F26" s="118">
        <f>F27+F28</f>
        <v>8500</v>
      </c>
      <c r="G26" s="118">
        <f>G27+G28</f>
        <v>8500</v>
      </c>
      <c r="H26" s="312"/>
      <c r="I26" s="312"/>
      <c r="J26" s="312"/>
      <c r="K26" s="312"/>
      <c r="L26" s="119"/>
      <c r="M26" s="118">
        <f>M27+M28</f>
        <v>8500</v>
      </c>
      <c r="N26" s="118">
        <f>N27+N28</f>
        <v>8500</v>
      </c>
      <c r="O26" s="312"/>
      <c r="P26" s="333"/>
      <c r="Q26" s="333"/>
      <c r="R26" s="333"/>
      <c r="S26" s="333"/>
      <c r="T26" s="333"/>
      <c r="U26" s="333"/>
      <c r="V26" s="118">
        <f>V27+V28</f>
        <v>8500</v>
      </c>
      <c r="W26" s="118">
        <f>W27+W28</f>
        <v>8500</v>
      </c>
      <c r="X26" s="312"/>
      <c r="Y26" s="8">
        <v>2</v>
      </c>
    </row>
    <row r="27" spans="1:26" ht="88.5" customHeight="1">
      <c r="A27" s="18">
        <v>1</v>
      </c>
      <c r="B27" s="18" t="s">
        <v>488</v>
      </c>
      <c r="C27" s="14" t="s">
        <v>164</v>
      </c>
      <c r="D27" s="15" t="s">
        <v>489</v>
      </c>
      <c r="E27" s="240"/>
      <c r="F27" s="137">
        <v>3000</v>
      </c>
      <c r="G27" s="137">
        <v>3000</v>
      </c>
      <c r="H27" s="18" t="s">
        <v>469</v>
      </c>
      <c r="I27" s="18"/>
      <c r="J27" s="18">
        <v>2026</v>
      </c>
      <c r="K27" s="18">
        <v>2027</v>
      </c>
      <c r="L27" s="240"/>
      <c r="M27" s="124">
        <f>N27</f>
        <v>3000</v>
      </c>
      <c r="N27" s="124">
        <f>G27</f>
        <v>3000</v>
      </c>
      <c r="O27" s="18">
        <v>2026</v>
      </c>
      <c r="P27" s="282"/>
      <c r="Q27" s="282"/>
      <c r="R27" s="282"/>
      <c r="S27" s="282"/>
      <c r="T27" s="282"/>
      <c r="U27" s="282"/>
      <c r="V27" s="282">
        <f>W27</f>
        <v>3000</v>
      </c>
      <c r="W27" s="282">
        <f>N27</f>
        <v>3000</v>
      </c>
      <c r="X27" s="14"/>
    </row>
    <row r="28" spans="1:26" ht="91.5" customHeight="1">
      <c r="A28" s="18">
        <v>2</v>
      </c>
      <c r="B28" s="18" t="s">
        <v>488</v>
      </c>
      <c r="C28" s="14" t="s">
        <v>164</v>
      </c>
      <c r="D28" s="15" t="s">
        <v>490</v>
      </c>
      <c r="E28" s="240"/>
      <c r="F28" s="137">
        <v>5500</v>
      </c>
      <c r="G28" s="137">
        <v>5500</v>
      </c>
      <c r="H28" s="18" t="s">
        <v>491</v>
      </c>
      <c r="I28" s="18"/>
      <c r="J28" s="18">
        <v>2026</v>
      </c>
      <c r="K28" s="18">
        <v>2027</v>
      </c>
      <c r="L28" s="240"/>
      <c r="M28" s="124">
        <f>N28</f>
        <v>5500</v>
      </c>
      <c r="N28" s="124">
        <f>G28</f>
        <v>5500</v>
      </c>
      <c r="O28" s="18">
        <v>2026</v>
      </c>
      <c r="P28" s="282"/>
      <c r="Q28" s="282"/>
      <c r="R28" s="282"/>
      <c r="S28" s="282"/>
      <c r="T28" s="282"/>
      <c r="U28" s="282"/>
      <c r="V28" s="282">
        <f>W28</f>
        <v>5500</v>
      </c>
      <c r="W28" s="282">
        <f>N28</f>
        <v>5500</v>
      </c>
      <c r="X28" s="14"/>
    </row>
    <row r="29" spans="1:26" ht="48" customHeight="1">
      <c r="A29" s="43" t="s">
        <v>492</v>
      </c>
      <c r="B29" s="569" t="s">
        <v>493</v>
      </c>
      <c r="C29" s="570"/>
      <c r="D29" s="571"/>
      <c r="E29" s="119"/>
      <c r="F29" s="118">
        <f>SUM(F30:F37)</f>
        <v>122300</v>
      </c>
      <c r="G29" s="118">
        <f>SUM(G30:G37)</f>
        <v>122300</v>
      </c>
      <c r="H29" s="312"/>
      <c r="I29" s="312"/>
      <c r="J29" s="312"/>
      <c r="K29" s="312"/>
      <c r="L29" s="119"/>
      <c r="M29" s="118">
        <f>SUM(M30:M37)</f>
        <v>122300</v>
      </c>
      <c r="N29" s="118">
        <f>SUM(N30:N37)</f>
        <v>122300</v>
      </c>
      <c r="O29" s="312"/>
      <c r="P29" s="333"/>
      <c r="Q29" s="333"/>
      <c r="R29" s="333"/>
      <c r="S29" s="333"/>
      <c r="T29" s="333"/>
      <c r="U29" s="333"/>
      <c r="V29" s="118">
        <f>SUM(V30:V37)</f>
        <v>122300</v>
      </c>
      <c r="W29" s="118">
        <f>SUM(W30:W37)</f>
        <v>122300</v>
      </c>
      <c r="X29" s="312"/>
      <c r="Y29" s="8">
        <v>8</v>
      </c>
    </row>
    <row r="30" spans="1:26" ht="102" customHeight="1">
      <c r="A30" s="18">
        <v>1</v>
      </c>
      <c r="B30" s="18" t="s">
        <v>494</v>
      </c>
      <c r="C30" s="14" t="s">
        <v>164</v>
      </c>
      <c r="D30" s="15" t="s">
        <v>495</v>
      </c>
      <c r="E30" s="240"/>
      <c r="F30" s="137">
        <v>10000</v>
      </c>
      <c r="G30" s="137">
        <v>10000</v>
      </c>
      <c r="H30" s="18" t="s">
        <v>471</v>
      </c>
      <c r="I30" s="18"/>
      <c r="J30" s="18">
        <v>2026</v>
      </c>
      <c r="K30" s="18">
        <v>2027</v>
      </c>
      <c r="L30" s="240"/>
      <c r="M30" s="124">
        <f t="shared" ref="M30:M37" si="10">N30</f>
        <v>10000</v>
      </c>
      <c r="N30" s="124">
        <f t="shared" ref="N30:N37" si="11">G30</f>
        <v>10000</v>
      </c>
      <c r="O30" s="18">
        <v>2026</v>
      </c>
      <c r="P30" s="282"/>
      <c r="Q30" s="282"/>
      <c r="R30" s="282"/>
      <c r="S30" s="282"/>
      <c r="T30" s="282"/>
      <c r="U30" s="282"/>
      <c r="V30" s="282">
        <f t="shared" ref="V30:V37" si="12">W30</f>
        <v>10000</v>
      </c>
      <c r="W30" s="282">
        <f t="shared" ref="W30:W37" si="13">N30</f>
        <v>10000</v>
      </c>
      <c r="X30" s="14" t="s">
        <v>496</v>
      </c>
      <c r="Z30" s="264"/>
    </row>
    <row r="31" spans="1:26" s="80" customFormat="1" ht="91.5" customHeight="1">
      <c r="A31" s="315">
        <v>2</v>
      </c>
      <c r="B31" s="18" t="s">
        <v>494</v>
      </c>
      <c r="C31" s="14" t="s">
        <v>164</v>
      </c>
      <c r="D31" s="15" t="s">
        <v>497</v>
      </c>
      <c r="E31" s="240"/>
      <c r="F31" s="137">
        <v>6800</v>
      </c>
      <c r="G31" s="137">
        <v>6800</v>
      </c>
      <c r="H31" s="18" t="s">
        <v>471</v>
      </c>
      <c r="I31" s="265" t="s">
        <v>498</v>
      </c>
      <c r="J31" s="18">
        <v>2026</v>
      </c>
      <c r="K31" s="18">
        <v>2027</v>
      </c>
      <c r="L31" s="240"/>
      <c r="M31" s="124">
        <f t="shared" si="10"/>
        <v>6800</v>
      </c>
      <c r="N31" s="124">
        <f t="shared" si="11"/>
        <v>6800</v>
      </c>
      <c r="O31" s="18">
        <v>2026</v>
      </c>
      <c r="P31" s="282"/>
      <c r="Q31" s="282"/>
      <c r="R31" s="282"/>
      <c r="S31" s="282"/>
      <c r="T31" s="282"/>
      <c r="U31" s="282"/>
      <c r="V31" s="282">
        <f t="shared" si="12"/>
        <v>6800</v>
      </c>
      <c r="W31" s="282">
        <f t="shared" si="13"/>
        <v>6800</v>
      </c>
      <c r="X31" s="14"/>
    </row>
    <row r="32" spans="1:26" ht="91.5" customHeight="1">
      <c r="A32" s="18">
        <v>3</v>
      </c>
      <c r="B32" s="217" t="s">
        <v>494</v>
      </c>
      <c r="C32" s="232" t="s">
        <v>164</v>
      </c>
      <c r="D32" s="229" t="s">
        <v>499</v>
      </c>
      <c r="E32" s="219"/>
      <c r="F32" s="220">
        <v>19000</v>
      </c>
      <c r="G32" s="220">
        <v>19000</v>
      </c>
      <c r="H32" s="217" t="s">
        <v>471</v>
      </c>
      <c r="I32" s="204" t="s">
        <v>500</v>
      </c>
      <c r="J32" s="217">
        <v>2026</v>
      </c>
      <c r="K32" s="249">
        <v>2027</v>
      </c>
      <c r="L32" s="240"/>
      <c r="M32" s="124">
        <f t="shared" ref="M32" si="14">N32</f>
        <v>19000</v>
      </c>
      <c r="N32" s="124">
        <f t="shared" ref="N32" si="15">G32</f>
        <v>19000</v>
      </c>
      <c r="O32" s="18">
        <v>2026</v>
      </c>
      <c r="P32" s="282"/>
      <c r="Q32" s="282"/>
      <c r="R32" s="282"/>
      <c r="S32" s="282"/>
      <c r="T32" s="282"/>
      <c r="U32" s="282"/>
      <c r="V32" s="282">
        <f t="shared" ref="V32" si="16">W32</f>
        <v>19000</v>
      </c>
      <c r="W32" s="282">
        <f t="shared" ref="W32" si="17">N32</f>
        <v>19000</v>
      </c>
      <c r="X32" s="14"/>
    </row>
    <row r="33" spans="1:25" s="80" customFormat="1" ht="126.75" customHeight="1">
      <c r="A33" s="315">
        <v>4</v>
      </c>
      <c r="B33" s="217" t="s">
        <v>494</v>
      </c>
      <c r="C33" s="232" t="s">
        <v>164</v>
      </c>
      <c r="D33" s="229" t="s">
        <v>501</v>
      </c>
      <c r="E33" s="219"/>
      <c r="F33" s="220">
        <v>21500</v>
      </c>
      <c r="G33" s="220">
        <v>21500</v>
      </c>
      <c r="H33" s="217" t="s">
        <v>471</v>
      </c>
      <c r="I33" s="204" t="s">
        <v>502</v>
      </c>
      <c r="J33" s="217">
        <v>2026</v>
      </c>
      <c r="K33" s="249">
        <v>2027</v>
      </c>
      <c r="L33" s="240"/>
      <c r="M33" s="124">
        <f t="shared" si="10"/>
        <v>21500</v>
      </c>
      <c r="N33" s="124">
        <f t="shared" si="11"/>
        <v>21500</v>
      </c>
      <c r="O33" s="18">
        <v>2026</v>
      </c>
      <c r="P33" s="282"/>
      <c r="Q33" s="282"/>
      <c r="R33" s="282"/>
      <c r="S33" s="282"/>
      <c r="T33" s="282"/>
      <c r="U33" s="282"/>
      <c r="V33" s="282">
        <f t="shared" si="12"/>
        <v>21500</v>
      </c>
      <c r="W33" s="282">
        <f t="shared" si="13"/>
        <v>21500</v>
      </c>
      <c r="X33" s="14"/>
    </row>
    <row r="34" spans="1:25" ht="126.75" customHeight="1">
      <c r="A34" s="18">
        <v>5</v>
      </c>
      <c r="B34" s="18" t="s">
        <v>494</v>
      </c>
      <c r="C34" s="14" t="s">
        <v>164</v>
      </c>
      <c r="D34" s="17" t="s">
        <v>503</v>
      </c>
      <c r="E34" s="240"/>
      <c r="F34" s="137">
        <v>17500</v>
      </c>
      <c r="G34" s="137">
        <v>17500</v>
      </c>
      <c r="H34" s="18" t="s">
        <v>471</v>
      </c>
      <c r="I34" s="136" t="s">
        <v>504</v>
      </c>
      <c r="J34" s="18">
        <v>2028</v>
      </c>
      <c r="K34" s="18">
        <v>2029</v>
      </c>
      <c r="L34" s="240"/>
      <c r="M34" s="124">
        <f t="shared" si="10"/>
        <v>17500</v>
      </c>
      <c r="N34" s="124">
        <f t="shared" si="11"/>
        <v>17500</v>
      </c>
      <c r="O34" s="18">
        <v>2028</v>
      </c>
      <c r="P34" s="282"/>
      <c r="Q34" s="282"/>
      <c r="R34" s="282"/>
      <c r="S34" s="282"/>
      <c r="T34" s="282"/>
      <c r="U34" s="282"/>
      <c r="V34" s="282">
        <f t="shared" si="12"/>
        <v>17500</v>
      </c>
      <c r="W34" s="282">
        <f t="shared" si="13"/>
        <v>17500</v>
      </c>
      <c r="X34" s="14"/>
    </row>
    <row r="35" spans="1:25" s="80" customFormat="1" ht="126.75" customHeight="1">
      <c r="A35" s="315">
        <v>6</v>
      </c>
      <c r="B35" s="18" t="s">
        <v>494</v>
      </c>
      <c r="C35" s="14" t="s">
        <v>164</v>
      </c>
      <c r="D35" s="15" t="s">
        <v>505</v>
      </c>
      <c r="E35" s="240"/>
      <c r="F35" s="137">
        <v>16000</v>
      </c>
      <c r="G35" s="137">
        <v>16000</v>
      </c>
      <c r="H35" s="18" t="s">
        <v>471</v>
      </c>
      <c r="I35" s="265" t="s">
        <v>506</v>
      </c>
      <c r="J35" s="18">
        <v>2027</v>
      </c>
      <c r="K35" s="18">
        <v>2028</v>
      </c>
      <c r="L35" s="240"/>
      <c r="M35" s="124">
        <f t="shared" si="10"/>
        <v>16000</v>
      </c>
      <c r="N35" s="124">
        <f t="shared" si="11"/>
        <v>16000</v>
      </c>
      <c r="O35" s="18">
        <v>2027</v>
      </c>
      <c r="P35" s="282"/>
      <c r="Q35" s="282"/>
      <c r="R35" s="282"/>
      <c r="S35" s="282"/>
      <c r="T35" s="282"/>
      <c r="U35" s="282"/>
      <c r="V35" s="282">
        <f t="shared" si="12"/>
        <v>16000</v>
      </c>
      <c r="W35" s="282">
        <f t="shared" si="13"/>
        <v>16000</v>
      </c>
      <c r="X35" s="14"/>
    </row>
    <row r="36" spans="1:25" ht="126.75" customHeight="1">
      <c r="A36" s="18">
        <v>7</v>
      </c>
      <c r="B36" s="18" t="s">
        <v>494</v>
      </c>
      <c r="C36" s="14" t="s">
        <v>164</v>
      </c>
      <c r="D36" s="15" t="s">
        <v>507</v>
      </c>
      <c r="E36" s="240"/>
      <c r="F36" s="137">
        <v>19000</v>
      </c>
      <c r="G36" s="137">
        <v>19000</v>
      </c>
      <c r="H36" s="18" t="s">
        <v>471</v>
      </c>
      <c r="I36" s="204" t="s">
        <v>500</v>
      </c>
      <c r="J36" s="18">
        <v>2028</v>
      </c>
      <c r="K36" s="18">
        <v>2029</v>
      </c>
      <c r="L36" s="240"/>
      <c r="M36" s="124">
        <f t="shared" si="10"/>
        <v>19000</v>
      </c>
      <c r="N36" s="124">
        <f t="shared" si="11"/>
        <v>19000</v>
      </c>
      <c r="O36" s="18">
        <v>2028</v>
      </c>
      <c r="P36" s="282"/>
      <c r="Q36" s="282"/>
      <c r="R36" s="282"/>
      <c r="S36" s="282"/>
      <c r="T36" s="282"/>
      <c r="U36" s="282"/>
      <c r="V36" s="282">
        <f t="shared" si="12"/>
        <v>19000</v>
      </c>
      <c r="W36" s="282">
        <f t="shared" si="13"/>
        <v>19000</v>
      </c>
      <c r="X36" s="14"/>
    </row>
    <row r="37" spans="1:25" ht="126.75" customHeight="1">
      <c r="A37" s="18">
        <v>8</v>
      </c>
      <c r="B37" s="18" t="s">
        <v>494</v>
      </c>
      <c r="C37" s="14" t="s">
        <v>164</v>
      </c>
      <c r="D37" s="15" t="s">
        <v>508</v>
      </c>
      <c r="E37" s="240"/>
      <c r="F37" s="137">
        <v>12500</v>
      </c>
      <c r="G37" s="137">
        <v>12500</v>
      </c>
      <c r="H37" s="18" t="s">
        <v>471</v>
      </c>
      <c r="I37" s="265" t="s">
        <v>509</v>
      </c>
      <c r="J37" s="18">
        <v>2028</v>
      </c>
      <c r="K37" s="18">
        <v>2029</v>
      </c>
      <c r="L37" s="240"/>
      <c r="M37" s="124">
        <f t="shared" si="10"/>
        <v>12500</v>
      </c>
      <c r="N37" s="124">
        <f t="shared" si="11"/>
        <v>12500</v>
      </c>
      <c r="O37" s="18">
        <v>2028</v>
      </c>
      <c r="P37" s="282"/>
      <c r="Q37" s="282"/>
      <c r="R37" s="282"/>
      <c r="S37" s="282"/>
      <c r="T37" s="282"/>
      <c r="U37" s="282"/>
      <c r="V37" s="282">
        <f t="shared" si="12"/>
        <v>12500</v>
      </c>
      <c r="W37" s="282">
        <f t="shared" si="13"/>
        <v>12500</v>
      </c>
      <c r="X37" s="14"/>
    </row>
    <row r="38" spans="1:25" ht="48" customHeight="1">
      <c r="A38" s="43" t="s">
        <v>510</v>
      </c>
      <c r="B38" s="569" t="s">
        <v>511</v>
      </c>
      <c r="C38" s="570"/>
      <c r="D38" s="571"/>
      <c r="E38" s="119"/>
      <c r="F38" s="118">
        <f>SUM(F39:F41)</f>
        <v>2700</v>
      </c>
      <c r="G38" s="118">
        <f>SUM(G39:G41)</f>
        <v>2700</v>
      </c>
      <c r="H38" s="312"/>
      <c r="I38" s="312"/>
      <c r="J38" s="312"/>
      <c r="K38" s="312"/>
      <c r="L38" s="119"/>
      <c r="M38" s="118">
        <f>SUM(M39:M41)</f>
        <v>2700</v>
      </c>
      <c r="N38" s="118">
        <f>SUM(N39:N41)</f>
        <v>2700</v>
      </c>
      <c r="O38" s="312"/>
      <c r="P38" s="333"/>
      <c r="Q38" s="333"/>
      <c r="R38" s="333"/>
      <c r="S38" s="333"/>
      <c r="T38" s="333"/>
      <c r="U38" s="333"/>
      <c r="V38" s="118">
        <f>SUM(V39:V41)</f>
        <v>2700</v>
      </c>
      <c r="W38" s="118">
        <f>SUM(W39:W41)</f>
        <v>2700</v>
      </c>
      <c r="X38" s="312"/>
      <c r="Y38" s="8">
        <v>3</v>
      </c>
    </row>
    <row r="39" spans="1:25" ht="57" customHeight="1">
      <c r="A39" s="18">
        <v>1</v>
      </c>
      <c r="B39" s="18" t="s">
        <v>512</v>
      </c>
      <c r="C39" s="14" t="s">
        <v>164</v>
      </c>
      <c r="D39" s="15" t="s">
        <v>513</v>
      </c>
      <c r="E39" s="240"/>
      <c r="F39" s="137">
        <v>1000</v>
      </c>
      <c r="G39" s="137">
        <v>1000</v>
      </c>
      <c r="H39" s="18" t="s">
        <v>514</v>
      </c>
      <c r="I39" s="18"/>
      <c r="J39" s="18">
        <v>2026</v>
      </c>
      <c r="K39" s="18">
        <v>2028</v>
      </c>
      <c r="L39" s="240"/>
      <c r="M39" s="124">
        <f>N39</f>
        <v>1000</v>
      </c>
      <c r="N39" s="124">
        <f>G39</f>
        <v>1000</v>
      </c>
      <c r="O39" s="18">
        <v>2026</v>
      </c>
      <c r="P39" s="282"/>
      <c r="Q39" s="282"/>
      <c r="R39" s="282"/>
      <c r="S39" s="282"/>
      <c r="T39" s="282"/>
      <c r="U39" s="282"/>
      <c r="V39" s="282">
        <f>W39</f>
        <v>1000</v>
      </c>
      <c r="W39" s="282">
        <f>N39</f>
        <v>1000</v>
      </c>
      <c r="X39" s="14"/>
    </row>
    <row r="40" spans="1:25" ht="48.75" customHeight="1">
      <c r="A40" s="18">
        <v>2</v>
      </c>
      <c r="B40" s="18" t="s">
        <v>512</v>
      </c>
      <c r="C40" s="14" t="s">
        <v>164</v>
      </c>
      <c r="D40" s="15" t="s">
        <v>515</v>
      </c>
      <c r="E40" s="240"/>
      <c r="F40" s="137">
        <v>500</v>
      </c>
      <c r="G40" s="137">
        <v>500</v>
      </c>
      <c r="H40" s="18" t="s">
        <v>516</v>
      </c>
      <c r="I40" s="18"/>
      <c r="J40" s="18">
        <v>2026</v>
      </c>
      <c r="K40" s="18">
        <v>2028</v>
      </c>
      <c r="L40" s="240"/>
      <c r="M40" s="124">
        <f>N40</f>
        <v>500</v>
      </c>
      <c r="N40" s="124">
        <f>G40</f>
        <v>500</v>
      </c>
      <c r="O40" s="18">
        <v>2026</v>
      </c>
      <c r="P40" s="282"/>
      <c r="Q40" s="282"/>
      <c r="R40" s="282"/>
      <c r="S40" s="282"/>
      <c r="T40" s="282"/>
      <c r="U40" s="282"/>
      <c r="V40" s="282">
        <f>W40</f>
        <v>500</v>
      </c>
      <c r="W40" s="282">
        <f>N40</f>
        <v>500</v>
      </c>
      <c r="X40" s="14"/>
    </row>
    <row r="41" spans="1:25" ht="58.5" customHeight="1">
      <c r="A41" s="18">
        <v>3</v>
      </c>
      <c r="B41" s="18" t="s">
        <v>512</v>
      </c>
      <c r="C41" s="14" t="s">
        <v>164</v>
      </c>
      <c r="D41" s="15" t="s">
        <v>517</v>
      </c>
      <c r="E41" s="240"/>
      <c r="F41" s="137">
        <v>1200</v>
      </c>
      <c r="G41" s="137">
        <v>1200</v>
      </c>
      <c r="H41" s="18" t="s">
        <v>518</v>
      </c>
      <c r="I41" s="18"/>
      <c r="J41" s="18">
        <v>2028</v>
      </c>
      <c r="K41" s="18">
        <v>2030</v>
      </c>
      <c r="L41" s="240"/>
      <c r="M41" s="124">
        <f>N41</f>
        <v>1200</v>
      </c>
      <c r="N41" s="124">
        <f>G41</f>
        <v>1200</v>
      </c>
      <c r="O41" s="18">
        <v>2028</v>
      </c>
      <c r="P41" s="282"/>
      <c r="Q41" s="282"/>
      <c r="R41" s="282"/>
      <c r="S41" s="282"/>
      <c r="T41" s="282"/>
      <c r="U41" s="282"/>
      <c r="V41" s="282">
        <f>W41</f>
        <v>1200</v>
      </c>
      <c r="W41" s="282">
        <f>N41</f>
        <v>1200</v>
      </c>
      <c r="X41" s="14"/>
    </row>
    <row r="42" spans="1:25" ht="48" customHeight="1">
      <c r="A42" s="43" t="s">
        <v>519</v>
      </c>
      <c r="B42" s="569" t="s">
        <v>520</v>
      </c>
      <c r="C42" s="570"/>
      <c r="D42" s="571"/>
      <c r="E42" s="119"/>
      <c r="F42" s="118">
        <f>F43</f>
        <v>2500</v>
      </c>
      <c r="G42" s="118">
        <f>G43</f>
        <v>2500</v>
      </c>
      <c r="H42" s="312"/>
      <c r="I42" s="312"/>
      <c r="J42" s="312"/>
      <c r="K42" s="312"/>
      <c r="L42" s="119"/>
      <c r="M42" s="118">
        <f>M43</f>
        <v>2500</v>
      </c>
      <c r="N42" s="118">
        <f>N43</f>
        <v>2500</v>
      </c>
      <c r="O42" s="312"/>
      <c r="P42" s="333"/>
      <c r="Q42" s="333"/>
      <c r="R42" s="333"/>
      <c r="S42" s="333"/>
      <c r="T42" s="333"/>
      <c r="U42" s="333"/>
      <c r="V42" s="118">
        <f>V43</f>
        <v>2500</v>
      </c>
      <c r="W42" s="118">
        <f>W43</f>
        <v>2500</v>
      </c>
      <c r="X42" s="312"/>
      <c r="Y42" s="8">
        <v>1</v>
      </c>
    </row>
    <row r="43" spans="1:25" ht="83.25" customHeight="1">
      <c r="A43" s="18">
        <v>1</v>
      </c>
      <c r="B43" s="18" t="s">
        <v>79</v>
      </c>
      <c r="C43" s="14" t="s">
        <v>164</v>
      </c>
      <c r="D43" s="15" t="s">
        <v>521</v>
      </c>
      <c r="E43" s="240"/>
      <c r="F43" s="137">
        <v>2500</v>
      </c>
      <c r="G43" s="137">
        <v>2500</v>
      </c>
      <c r="H43" s="18" t="s">
        <v>471</v>
      </c>
      <c r="I43" s="265" t="s">
        <v>522</v>
      </c>
      <c r="J43" s="18">
        <v>2026</v>
      </c>
      <c r="K43" s="18">
        <v>2026</v>
      </c>
      <c r="L43" s="240"/>
      <c r="M43" s="124">
        <f>N43</f>
        <v>2500</v>
      </c>
      <c r="N43" s="124">
        <f>G43</f>
        <v>2500</v>
      </c>
      <c r="O43" s="18">
        <v>2026</v>
      </c>
      <c r="P43" s="282"/>
      <c r="Q43" s="282"/>
      <c r="R43" s="282"/>
      <c r="S43" s="282"/>
      <c r="T43" s="282"/>
      <c r="U43" s="282"/>
      <c r="V43" s="282">
        <f>W43</f>
        <v>2500</v>
      </c>
      <c r="W43" s="282">
        <f>N43</f>
        <v>2500</v>
      </c>
      <c r="X43" s="14"/>
    </row>
    <row r="44" spans="1:25" ht="48" customHeight="1">
      <c r="A44" s="43" t="s">
        <v>523</v>
      </c>
      <c r="B44" s="569" t="s">
        <v>524</v>
      </c>
      <c r="C44" s="570"/>
      <c r="D44" s="571"/>
      <c r="E44" s="119"/>
      <c r="F44" s="118">
        <f>SUM(F45:F45)</f>
        <v>42000</v>
      </c>
      <c r="G44" s="118">
        <f>SUM(G45:G45)</f>
        <v>42000</v>
      </c>
      <c r="H44" s="312"/>
      <c r="I44" s="312"/>
      <c r="J44" s="312"/>
      <c r="K44" s="312"/>
      <c r="L44" s="119"/>
      <c r="M44" s="118">
        <f>SUM(M45:M45)</f>
        <v>42000</v>
      </c>
      <c r="N44" s="118">
        <f>SUM(N45:N45)</f>
        <v>42000</v>
      </c>
      <c r="O44" s="312"/>
      <c r="P44" s="333"/>
      <c r="Q44" s="333"/>
      <c r="R44" s="333"/>
      <c r="S44" s="333"/>
      <c r="T44" s="333"/>
      <c r="U44" s="333"/>
      <c r="V44" s="118">
        <f>SUM(V45:V45)</f>
        <v>42000</v>
      </c>
      <c r="W44" s="118">
        <f>SUM(W45:W45)</f>
        <v>42000</v>
      </c>
      <c r="X44" s="312"/>
      <c r="Y44" s="8">
        <v>1</v>
      </c>
    </row>
    <row r="45" spans="1:25" ht="98.25" customHeight="1">
      <c r="A45" s="18">
        <v>1</v>
      </c>
      <c r="B45" s="18" t="s">
        <v>525</v>
      </c>
      <c r="C45" s="14" t="s">
        <v>164</v>
      </c>
      <c r="D45" s="15" t="s">
        <v>526</v>
      </c>
      <c r="E45" s="240"/>
      <c r="F45" s="137">
        <v>42000</v>
      </c>
      <c r="G45" s="137">
        <v>42000</v>
      </c>
      <c r="H45" s="18" t="s">
        <v>471</v>
      </c>
      <c r="I45" s="265" t="s">
        <v>527</v>
      </c>
      <c r="J45" s="18">
        <v>2029</v>
      </c>
      <c r="K45" s="18">
        <v>2030</v>
      </c>
      <c r="L45" s="240"/>
      <c r="M45" s="124">
        <f>N45</f>
        <v>42000</v>
      </c>
      <c r="N45" s="124">
        <f>G45</f>
        <v>42000</v>
      </c>
      <c r="O45" s="18">
        <v>2029</v>
      </c>
      <c r="P45" s="282"/>
      <c r="Q45" s="282"/>
      <c r="R45" s="282"/>
      <c r="S45" s="282"/>
      <c r="T45" s="282"/>
      <c r="U45" s="282"/>
      <c r="V45" s="282">
        <f>W45</f>
        <v>42000</v>
      </c>
      <c r="W45" s="282">
        <f>N45</f>
        <v>42000</v>
      </c>
      <c r="X45" s="14"/>
    </row>
    <row r="46" spans="1:25" ht="48" customHeight="1">
      <c r="A46" s="43" t="s">
        <v>528</v>
      </c>
      <c r="B46" s="569" t="s">
        <v>529</v>
      </c>
      <c r="C46" s="570"/>
      <c r="D46" s="571"/>
      <c r="E46" s="119"/>
      <c r="F46" s="118">
        <f>F47+F52</f>
        <v>17000</v>
      </c>
      <c r="G46" s="118">
        <f>G47+G52</f>
        <v>17000</v>
      </c>
      <c r="H46" s="312"/>
      <c r="I46" s="312"/>
      <c r="J46" s="312"/>
      <c r="K46" s="312"/>
      <c r="L46" s="119"/>
      <c r="M46" s="118">
        <f>M47+M52</f>
        <v>17000</v>
      </c>
      <c r="N46" s="118">
        <f>N47+N52</f>
        <v>17000</v>
      </c>
      <c r="O46" s="312"/>
      <c r="P46" s="333"/>
      <c r="Q46" s="333"/>
      <c r="R46" s="333"/>
      <c r="S46" s="333"/>
      <c r="T46" s="333"/>
      <c r="U46" s="333"/>
      <c r="V46" s="118">
        <f>V47+V52</f>
        <v>17000</v>
      </c>
      <c r="W46" s="118">
        <f>W47+W52</f>
        <v>17000</v>
      </c>
      <c r="X46" s="312"/>
      <c r="Y46" s="8">
        <v>5</v>
      </c>
    </row>
    <row r="47" spans="1:25" ht="55.5" customHeight="1">
      <c r="A47" s="266">
        <v>1</v>
      </c>
      <c r="B47" s="316"/>
      <c r="C47" s="14"/>
      <c r="D47" s="15" t="s">
        <v>530</v>
      </c>
      <c r="E47" s="317"/>
      <c r="F47" s="137">
        <f>SUM(F48:F51)</f>
        <v>10000</v>
      </c>
      <c r="G47" s="137">
        <f>SUM(G48:G51)</f>
        <v>10000</v>
      </c>
      <c r="H47" s="18"/>
      <c r="I47" s="18"/>
      <c r="J47" s="18"/>
      <c r="K47" s="18"/>
      <c r="L47" s="240"/>
      <c r="M47" s="137">
        <f>SUM(M48:M51)</f>
        <v>10000</v>
      </c>
      <c r="N47" s="137">
        <f>SUM(N48:N51)</f>
        <v>10000</v>
      </c>
      <c r="O47" s="18"/>
      <c r="P47" s="282"/>
      <c r="Q47" s="282"/>
      <c r="R47" s="282"/>
      <c r="S47" s="282"/>
      <c r="T47" s="282"/>
      <c r="U47" s="282"/>
      <c r="V47" s="137">
        <f>SUM(V48:V51)</f>
        <v>10000</v>
      </c>
      <c r="W47" s="137">
        <f>SUM(W48:W51)</f>
        <v>10000</v>
      </c>
      <c r="X47" s="14"/>
    </row>
    <row r="48" spans="1:25" s="307" customFormat="1" ht="126.75" customHeight="1">
      <c r="A48" s="318" t="s">
        <v>531</v>
      </c>
      <c r="B48" s="319" t="s">
        <v>532</v>
      </c>
      <c r="C48" s="320" t="s">
        <v>164</v>
      </c>
      <c r="D48" s="321" t="s">
        <v>533</v>
      </c>
      <c r="E48" s="322"/>
      <c r="F48" s="323">
        <v>2500</v>
      </c>
      <c r="G48" s="323">
        <v>2500</v>
      </c>
      <c r="H48" s="318" t="s">
        <v>471</v>
      </c>
      <c r="I48" s="318"/>
      <c r="J48" s="318">
        <v>2027</v>
      </c>
      <c r="K48" s="318">
        <v>2028</v>
      </c>
      <c r="L48" s="335"/>
      <c r="M48" s="336">
        <f t="shared" ref="M48:M51" si="18">N48</f>
        <v>2500</v>
      </c>
      <c r="N48" s="336">
        <f t="shared" ref="N48:N51" si="19">G48</f>
        <v>2500</v>
      </c>
      <c r="O48" s="318">
        <v>2027</v>
      </c>
      <c r="P48" s="337"/>
      <c r="Q48" s="337"/>
      <c r="R48" s="337"/>
      <c r="S48" s="337"/>
      <c r="T48" s="337"/>
      <c r="U48" s="337"/>
      <c r="V48" s="323">
        <f>W48</f>
        <v>2500</v>
      </c>
      <c r="W48" s="323">
        <f>N48</f>
        <v>2500</v>
      </c>
      <c r="X48" s="320" t="s">
        <v>534</v>
      </c>
    </row>
    <row r="49" spans="1:25" s="308" customFormat="1" ht="126.75" customHeight="1">
      <c r="A49" s="324" t="s">
        <v>535</v>
      </c>
      <c r="B49" s="325" t="s">
        <v>532</v>
      </c>
      <c r="C49" s="326" t="s">
        <v>164</v>
      </c>
      <c r="D49" s="327" t="s">
        <v>536</v>
      </c>
      <c r="E49" s="328"/>
      <c r="F49" s="329">
        <v>2500</v>
      </c>
      <c r="G49" s="329">
        <v>2500</v>
      </c>
      <c r="H49" s="324" t="s">
        <v>471</v>
      </c>
      <c r="I49" s="324"/>
      <c r="J49" s="324">
        <v>2027</v>
      </c>
      <c r="K49" s="324">
        <v>2028</v>
      </c>
      <c r="L49" s="338"/>
      <c r="M49" s="339">
        <f t="shared" si="18"/>
        <v>2500</v>
      </c>
      <c r="N49" s="339">
        <f t="shared" si="19"/>
        <v>2500</v>
      </c>
      <c r="O49" s="324">
        <v>2027</v>
      </c>
      <c r="P49" s="340"/>
      <c r="Q49" s="340"/>
      <c r="R49" s="340"/>
      <c r="S49" s="340"/>
      <c r="T49" s="340"/>
      <c r="U49" s="340"/>
      <c r="V49" s="329">
        <f t="shared" ref="V49:V51" si="20">W49</f>
        <v>2500</v>
      </c>
      <c r="W49" s="329">
        <f t="shared" ref="W49:W51" si="21">N49</f>
        <v>2500</v>
      </c>
      <c r="X49" s="326"/>
    </row>
    <row r="50" spans="1:25" s="308" customFormat="1" ht="126.75" customHeight="1">
      <c r="A50" s="324" t="s">
        <v>537</v>
      </c>
      <c r="B50" s="325" t="s">
        <v>532</v>
      </c>
      <c r="C50" s="326" t="s">
        <v>164</v>
      </c>
      <c r="D50" s="327" t="s">
        <v>538</v>
      </c>
      <c r="E50" s="328"/>
      <c r="F50" s="329">
        <v>3500</v>
      </c>
      <c r="G50" s="329">
        <v>3500</v>
      </c>
      <c r="H50" s="324" t="s">
        <v>471</v>
      </c>
      <c r="I50" s="324"/>
      <c r="J50" s="324">
        <v>2028</v>
      </c>
      <c r="K50" s="324">
        <v>2029</v>
      </c>
      <c r="L50" s="338"/>
      <c r="M50" s="339">
        <f t="shared" si="18"/>
        <v>3500</v>
      </c>
      <c r="N50" s="339">
        <f t="shared" si="19"/>
        <v>3500</v>
      </c>
      <c r="O50" s="324">
        <v>2028</v>
      </c>
      <c r="P50" s="340"/>
      <c r="Q50" s="340"/>
      <c r="R50" s="340"/>
      <c r="S50" s="340"/>
      <c r="T50" s="340"/>
      <c r="U50" s="340"/>
      <c r="V50" s="329">
        <f t="shared" si="20"/>
        <v>3500</v>
      </c>
      <c r="W50" s="329">
        <f t="shared" si="21"/>
        <v>3500</v>
      </c>
      <c r="X50" s="326"/>
    </row>
    <row r="51" spans="1:25" s="308" customFormat="1" ht="126.75" customHeight="1">
      <c r="A51" s="324">
        <v>104</v>
      </c>
      <c r="B51" s="325" t="s">
        <v>532</v>
      </c>
      <c r="C51" s="326" t="s">
        <v>164</v>
      </c>
      <c r="D51" s="327" t="s">
        <v>539</v>
      </c>
      <c r="E51" s="328"/>
      <c r="F51" s="329">
        <v>1500</v>
      </c>
      <c r="G51" s="329">
        <v>1500</v>
      </c>
      <c r="H51" s="324" t="s">
        <v>471</v>
      </c>
      <c r="I51" s="324"/>
      <c r="J51" s="324">
        <v>2028</v>
      </c>
      <c r="K51" s="324">
        <v>2029</v>
      </c>
      <c r="L51" s="338"/>
      <c r="M51" s="339">
        <f t="shared" si="18"/>
        <v>1500</v>
      </c>
      <c r="N51" s="339">
        <f t="shared" si="19"/>
        <v>1500</v>
      </c>
      <c r="O51" s="324">
        <v>2028</v>
      </c>
      <c r="P51" s="340"/>
      <c r="Q51" s="340"/>
      <c r="R51" s="340"/>
      <c r="S51" s="340"/>
      <c r="T51" s="340"/>
      <c r="U51" s="340"/>
      <c r="V51" s="329">
        <f t="shared" si="20"/>
        <v>1500</v>
      </c>
      <c r="W51" s="329">
        <f t="shared" si="21"/>
        <v>1500</v>
      </c>
      <c r="X51" s="326"/>
    </row>
    <row r="52" spans="1:25" ht="90" customHeight="1">
      <c r="A52" s="266">
        <v>2</v>
      </c>
      <c r="B52" s="316" t="s">
        <v>532</v>
      </c>
      <c r="C52" s="14" t="s">
        <v>164</v>
      </c>
      <c r="D52" s="15" t="s">
        <v>540</v>
      </c>
      <c r="E52" s="317"/>
      <c r="F52" s="137">
        <v>7000</v>
      </c>
      <c r="G52" s="137">
        <v>7000</v>
      </c>
      <c r="H52" s="18" t="s">
        <v>471</v>
      </c>
      <c r="I52" s="18"/>
      <c r="J52" s="18">
        <v>2027</v>
      </c>
      <c r="K52" s="18">
        <v>2028</v>
      </c>
      <c r="L52" s="240"/>
      <c r="M52" s="137">
        <v>7000</v>
      </c>
      <c r="N52" s="137">
        <v>7000</v>
      </c>
      <c r="O52" s="18">
        <v>2027</v>
      </c>
      <c r="P52" s="282"/>
      <c r="Q52" s="282"/>
      <c r="R52" s="282"/>
      <c r="S52" s="282"/>
      <c r="T52" s="282"/>
      <c r="U52" s="282"/>
      <c r="V52" s="137">
        <v>7000</v>
      </c>
      <c r="W52" s="137">
        <v>7000</v>
      </c>
      <c r="X52" s="14"/>
    </row>
    <row r="53" spans="1:25" ht="50.25" customHeight="1">
      <c r="A53" s="43" t="s">
        <v>541</v>
      </c>
      <c r="B53" s="569" t="s">
        <v>542</v>
      </c>
      <c r="C53" s="572"/>
      <c r="D53" s="573"/>
      <c r="E53" s="119"/>
      <c r="F53" s="118">
        <f>SUM(F54:F56)</f>
        <v>150000</v>
      </c>
      <c r="G53" s="118">
        <f>SUM(G54:G56)</f>
        <v>150000</v>
      </c>
      <c r="H53" s="118"/>
      <c r="I53" s="118"/>
      <c r="J53" s="118"/>
      <c r="K53" s="118"/>
      <c r="L53" s="118"/>
      <c r="M53" s="118">
        <f>SUM(M54:M56)</f>
        <v>150000</v>
      </c>
      <c r="N53" s="118">
        <f>SUM(N54:N56)</f>
        <v>150000</v>
      </c>
      <c r="O53" s="312"/>
      <c r="P53" s="118"/>
      <c r="Q53" s="118"/>
      <c r="R53" s="118"/>
      <c r="S53" s="118"/>
      <c r="T53" s="118"/>
      <c r="U53" s="118"/>
      <c r="V53" s="118">
        <f>SUM(V54:V56)</f>
        <v>150000</v>
      </c>
      <c r="W53" s="118">
        <f>SUM(W54:W56)</f>
        <v>150000</v>
      </c>
      <c r="X53" s="312"/>
      <c r="Y53" s="8">
        <v>3</v>
      </c>
    </row>
    <row r="54" spans="1:25" ht="106.5" customHeight="1">
      <c r="A54" s="266">
        <v>1</v>
      </c>
      <c r="B54" s="316" t="s">
        <v>543</v>
      </c>
      <c r="C54" s="14" t="s">
        <v>164</v>
      </c>
      <c r="D54" s="49" t="s">
        <v>544</v>
      </c>
      <c r="E54" s="317"/>
      <c r="F54" s="137">
        <v>45000</v>
      </c>
      <c r="G54" s="137">
        <v>45000</v>
      </c>
      <c r="H54" s="18" t="s">
        <v>471</v>
      </c>
      <c r="I54" s="18" t="s">
        <v>545</v>
      </c>
      <c r="J54" s="18">
        <v>2027</v>
      </c>
      <c r="K54" s="18">
        <v>2028</v>
      </c>
      <c r="L54" s="240"/>
      <c r="M54" s="137">
        <f>N54</f>
        <v>45000</v>
      </c>
      <c r="N54" s="137">
        <f>G54</f>
        <v>45000</v>
      </c>
      <c r="O54" s="18">
        <v>2027</v>
      </c>
      <c r="P54" s="282"/>
      <c r="Q54" s="282"/>
      <c r="R54" s="282"/>
      <c r="S54" s="282"/>
      <c r="T54" s="282"/>
      <c r="U54" s="282"/>
      <c r="V54" s="137">
        <f>W54</f>
        <v>45000</v>
      </c>
      <c r="W54" s="137">
        <f>G54</f>
        <v>45000</v>
      </c>
      <c r="X54" s="14"/>
    </row>
    <row r="55" spans="1:25" ht="106.5" customHeight="1">
      <c r="A55" s="266">
        <v>2</v>
      </c>
      <c r="B55" s="316" t="s">
        <v>543</v>
      </c>
      <c r="C55" s="14" t="s">
        <v>164</v>
      </c>
      <c r="D55" s="49" t="s">
        <v>546</v>
      </c>
      <c r="E55" s="317"/>
      <c r="F55" s="137">
        <v>50000</v>
      </c>
      <c r="G55" s="137">
        <v>50000</v>
      </c>
      <c r="H55" s="18" t="s">
        <v>471</v>
      </c>
      <c r="I55" s="18" t="s">
        <v>547</v>
      </c>
      <c r="J55" s="18">
        <v>2029</v>
      </c>
      <c r="K55" s="18">
        <v>2031</v>
      </c>
      <c r="L55" s="240"/>
      <c r="M55" s="137">
        <f t="shared" ref="M55:M57" si="22">N55</f>
        <v>50000</v>
      </c>
      <c r="N55" s="137">
        <f t="shared" ref="N55:N57" si="23">G55</f>
        <v>50000</v>
      </c>
      <c r="O55" s="18">
        <v>2029</v>
      </c>
      <c r="P55" s="282"/>
      <c r="Q55" s="282"/>
      <c r="R55" s="282"/>
      <c r="S55" s="282"/>
      <c r="T55" s="282"/>
      <c r="U55" s="282"/>
      <c r="V55" s="137">
        <f t="shared" ref="V55:V57" si="24">W55</f>
        <v>50000</v>
      </c>
      <c r="W55" s="137">
        <f t="shared" ref="W55:W57" si="25">G55</f>
        <v>50000</v>
      </c>
      <c r="X55" s="14"/>
    </row>
    <row r="56" spans="1:25" ht="106.5" customHeight="1">
      <c r="A56" s="266">
        <v>3</v>
      </c>
      <c r="B56" s="316" t="s">
        <v>543</v>
      </c>
      <c r="C56" s="14" t="s">
        <v>164</v>
      </c>
      <c r="D56" s="49" t="s">
        <v>548</v>
      </c>
      <c r="E56" s="317"/>
      <c r="F56" s="137">
        <v>55000</v>
      </c>
      <c r="G56" s="137">
        <v>55000</v>
      </c>
      <c r="H56" s="18" t="s">
        <v>471</v>
      </c>
      <c r="I56" s="18" t="s">
        <v>549</v>
      </c>
      <c r="J56" s="18">
        <v>2029</v>
      </c>
      <c r="K56" s="18">
        <v>2031</v>
      </c>
      <c r="L56" s="240"/>
      <c r="M56" s="137">
        <f t="shared" si="22"/>
        <v>55000</v>
      </c>
      <c r="N56" s="137">
        <f t="shared" si="23"/>
        <v>55000</v>
      </c>
      <c r="O56" s="18">
        <v>2029</v>
      </c>
      <c r="P56" s="282"/>
      <c r="Q56" s="282"/>
      <c r="R56" s="282"/>
      <c r="S56" s="282"/>
      <c r="T56" s="282"/>
      <c r="U56" s="282"/>
      <c r="V56" s="137">
        <f t="shared" si="24"/>
        <v>55000</v>
      </c>
      <c r="W56" s="137">
        <f t="shared" si="25"/>
        <v>55000</v>
      </c>
      <c r="X56" s="14"/>
    </row>
    <row r="57" spans="1:25" ht="100.5" customHeight="1">
      <c r="A57" s="36" t="s">
        <v>84</v>
      </c>
      <c r="B57" s="330"/>
      <c r="C57" s="331"/>
      <c r="D57" s="277" t="s">
        <v>181</v>
      </c>
      <c r="E57" s="278"/>
      <c r="F57" s="332">
        <v>10000</v>
      </c>
      <c r="G57" s="332">
        <v>10000</v>
      </c>
      <c r="H57" s="332"/>
      <c r="I57" s="332"/>
      <c r="J57" s="332"/>
      <c r="K57" s="332"/>
      <c r="L57" s="332"/>
      <c r="M57" s="332">
        <f t="shared" si="22"/>
        <v>10000</v>
      </c>
      <c r="N57" s="332">
        <f t="shared" si="23"/>
        <v>10000</v>
      </c>
      <c r="O57" s="332"/>
      <c r="P57" s="332"/>
      <c r="Q57" s="332"/>
      <c r="R57" s="332"/>
      <c r="S57" s="332"/>
      <c r="T57" s="332"/>
      <c r="U57" s="332"/>
      <c r="V57" s="332">
        <f t="shared" si="24"/>
        <v>10000</v>
      </c>
      <c r="W57" s="332">
        <f t="shared" si="25"/>
        <v>10000</v>
      </c>
      <c r="X57" s="332">
        <f ca="1">SUM(X13:X59)</f>
        <v>0</v>
      </c>
    </row>
    <row r="58" spans="1:25" ht="87" customHeight="1">
      <c r="I58" s="3">
        <f>2500*15</f>
        <v>37500</v>
      </c>
      <c r="W58" s="341"/>
    </row>
  </sheetData>
  <mergeCells count="39">
    <mergeCell ref="B53:D53"/>
    <mergeCell ref="B26:D26"/>
    <mergeCell ref="B29:D29"/>
    <mergeCell ref="B38:D38"/>
    <mergeCell ref="B42:D42"/>
    <mergeCell ref="S5:S7"/>
    <mergeCell ref="T5:T7"/>
    <mergeCell ref="V5:V7"/>
    <mergeCell ref="U5:U7"/>
    <mergeCell ref="I6:I7"/>
    <mergeCell ref="L6:L7"/>
    <mergeCell ref="B44:D44"/>
    <mergeCell ref="B46:D46"/>
    <mergeCell ref="E5:G5"/>
    <mergeCell ref="H5:N5"/>
    <mergeCell ref="F6:G6"/>
    <mergeCell ref="J6:K6"/>
    <mergeCell ref="M6:N6"/>
    <mergeCell ref="E6:E7"/>
    <mergeCell ref="H6:H7"/>
    <mergeCell ref="C4:C7"/>
    <mergeCell ref="D4:D7"/>
    <mergeCell ref="B12:D12"/>
    <mergeCell ref="W5:W7"/>
    <mergeCell ref="A1:X1"/>
    <mergeCell ref="A2:X2"/>
    <mergeCell ref="A3:X3"/>
    <mergeCell ref="E4:N4"/>
    <mergeCell ref="P4:Q4"/>
    <mergeCell ref="R4:S4"/>
    <mergeCell ref="T4:U4"/>
    <mergeCell ref="V4:W4"/>
    <mergeCell ref="O4:O7"/>
    <mergeCell ref="P5:P7"/>
    <mergeCell ref="Q5:Q7"/>
    <mergeCell ref="R5:R7"/>
    <mergeCell ref="A4:A7"/>
    <mergeCell ref="B4:B7"/>
    <mergeCell ref="X4:X7"/>
  </mergeCells>
  <pageMargins left="0.28999999999999998" right="0.27" top="0.45" bottom="0.41" header="0.3" footer="0.3"/>
  <pageSetup paperSize="8" scale="66" fitToHeight="0" orientation="landscape"/>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19"/>
  <sheetViews>
    <sheetView zoomScale="70" zoomScaleNormal="70" workbookViewId="0">
      <selection activeCell="O19" sqref="O19"/>
    </sheetView>
  </sheetViews>
  <sheetFormatPr defaultColWidth="9.1796875" defaultRowHeight="15.5"/>
  <cols>
    <col min="1" max="1" width="6.7265625" style="294" customWidth="1"/>
    <col min="2" max="2" width="11.81640625" style="295" customWidth="1"/>
    <col min="3" max="3" width="10.7265625" style="295" customWidth="1"/>
    <col min="4" max="4" width="26.7265625" style="295" customWidth="1"/>
    <col min="5" max="5" width="12.54296875" style="295" customWidth="1"/>
    <col min="6" max="8" width="10.7265625" style="295" customWidth="1"/>
    <col min="9" max="9" width="13.7265625" style="294" customWidth="1"/>
    <col min="10" max="11" width="10.7265625" style="294" customWidth="1"/>
    <col min="12" max="12" width="12.1796875" style="295" customWidth="1"/>
    <col min="13" max="15" width="10.7265625" style="295" customWidth="1"/>
    <col min="16" max="24" width="15" style="294" customWidth="1"/>
    <col min="25" max="16384" width="9.1796875" style="295"/>
  </cols>
  <sheetData>
    <row r="1" spans="1:24" ht="41.25" customHeight="1">
      <c r="A1" s="562" t="s">
        <v>550</v>
      </c>
      <c r="B1" s="563"/>
      <c r="C1" s="563"/>
      <c r="D1" s="563"/>
      <c r="E1" s="563"/>
      <c r="F1" s="563"/>
      <c r="G1" s="563"/>
      <c r="H1" s="563"/>
      <c r="I1" s="563"/>
      <c r="J1" s="563"/>
      <c r="K1" s="563"/>
      <c r="L1" s="563"/>
      <c r="M1" s="563"/>
      <c r="N1" s="563"/>
      <c r="O1" s="563"/>
      <c r="P1" s="563"/>
      <c r="Q1" s="574"/>
      <c r="R1" s="574"/>
      <c r="S1" s="574"/>
      <c r="T1" s="574"/>
      <c r="U1" s="574"/>
      <c r="V1" s="574"/>
      <c r="W1" s="574"/>
      <c r="X1" s="574"/>
    </row>
    <row r="2" spans="1:24" ht="36.75" customHeight="1">
      <c r="A2" s="562" t="s">
        <v>551</v>
      </c>
      <c r="B2" s="563"/>
      <c r="C2" s="563"/>
      <c r="D2" s="563"/>
      <c r="E2" s="563"/>
      <c r="F2" s="563"/>
      <c r="G2" s="563"/>
      <c r="H2" s="563"/>
      <c r="I2" s="563"/>
      <c r="J2" s="563"/>
      <c r="K2" s="563"/>
      <c r="L2" s="563"/>
      <c r="M2" s="563"/>
      <c r="N2" s="563"/>
      <c r="O2" s="563"/>
      <c r="P2" s="563"/>
      <c r="Q2" s="574"/>
      <c r="R2" s="574"/>
      <c r="S2" s="574"/>
      <c r="T2" s="574"/>
      <c r="U2" s="574"/>
      <c r="V2" s="574"/>
      <c r="W2" s="574"/>
      <c r="X2" s="574"/>
    </row>
    <row r="3" spans="1:24" ht="33" customHeight="1">
      <c r="A3" s="491" t="s">
        <v>2</v>
      </c>
      <c r="B3" s="492"/>
      <c r="C3" s="492"/>
      <c r="D3" s="492"/>
      <c r="E3" s="492"/>
      <c r="F3" s="492"/>
      <c r="G3" s="492"/>
      <c r="H3" s="492"/>
      <c r="I3" s="492"/>
      <c r="J3" s="492"/>
      <c r="K3" s="492"/>
      <c r="L3" s="492"/>
      <c r="M3" s="492"/>
      <c r="N3" s="492"/>
      <c r="O3" s="492"/>
      <c r="P3" s="492"/>
      <c r="Q3" s="551"/>
      <c r="R3" s="551"/>
      <c r="S3" s="551"/>
      <c r="T3" s="551"/>
      <c r="U3" s="551"/>
      <c r="V3" s="551"/>
      <c r="W3" s="551"/>
      <c r="X3" s="551"/>
    </row>
    <row r="4" spans="1:24" s="292" customFormat="1" ht="68.25" customHeight="1">
      <c r="A4" s="493" t="s">
        <v>3</v>
      </c>
      <c r="B4" s="511" t="s">
        <v>4</v>
      </c>
      <c r="C4" s="511" t="s">
        <v>5</v>
      </c>
      <c r="D4" s="496" t="s">
        <v>7</v>
      </c>
      <c r="E4" s="493" t="s">
        <v>153</v>
      </c>
      <c r="F4" s="493"/>
      <c r="G4" s="493"/>
      <c r="H4" s="493"/>
      <c r="I4" s="493"/>
      <c r="J4" s="493"/>
      <c r="K4" s="493"/>
      <c r="L4" s="493"/>
      <c r="M4" s="493"/>
      <c r="N4" s="493"/>
      <c r="O4" s="496" t="s">
        <v>9</v>
      </c>
      <c r="P4" s="518" t="s">
        <v>552</v>
      </c>
      <c r="Q4" s="552"/>
      <c r="R4" s="518" t="s">
        <v>553</v>
      </c>
      <c r="S4" s="552"/>
      <c r="T4" s="518" t="s">
        <v>156</v>
      </c>
      <c r="U4" s="552"/>
      <c r="V4" s="518" t="s">
        <v>157</v>
      </c>
      <c r="W4" s="552"/>
      <c r="X4" s="496" t="s">
        <v>14</v>
      </c>
    </row>
    <row r="5" spans="1:24" s="292" customFormat="1" ht="39.75" customHeight="1">
      <c r="A5" s="493"/>
      <c r="B5" s="511"/>
      <c r="C5" s="511"/>
      <c r="D5" s="496"/>
      <c r="E5" s="493" t="s">
        <v>15</v>
      </c>
      <c r="F5" s="493"/>
      <c r="G5" s="493"/>
      <c r="H5" s="493" t="s">
        <v>16</v>
      </c>
      <c r="I5" s="493"/>
      <c r="J5" s="493"/>
      <c r="K5" s="493"/>
      <c r="L5" s="493"/>
      <c r="M5" s="493"/>
      <c r="N5" s="493"/>
      <c r="O5" s="496"/>
      <c r="P5" s="520" t="s">
        <v>143</v>
      </c>
      <c r="Q5" s="520" t="s">
        <v>144</v>
      </c>
      <c r="R5" s="520" t="s">
        <v>143</v>
      </c>
      <c r="S5" s="520" t="s">
        <v>144</v>
      </c>
      <c r="T5" s="520" t="s">
        <v>143</v>
      </c>
      <c r="U5" s="520" t="s">
        <v>144</v>
      </c>
      <c r="V5" s="520" t="s">
        <v>143</v>
      </c>
      <c r="W5" s="520" t="s">
        <v>144</v>
      </c>
      <c r="X5" s="496"/>
    </row>
    <row r="6" spans="1:24" s="292" customFormat="1" ht="15.75" customHeight="1">
      <c r="A6" s="493"/>
      <c r="B6" s="511"/>
      <c r="C6" s="511"/>
      <c r="D6" s="496"/>
      <c r="E6" s="496" t="s">
        <v>22</v>
      </c>
      <c r="F6" s="503" t="s">
        <v>23</v>
      </c>
      <c r="G6" s="503"/>
      <c r="H6" s="496" t="s">
        <v>24</v>
      </c>
      <c r="I6" s="496" t="s">
        <v>25</v>
      </c>
      <c r="J6" s="496" t="s">
        <v>26</v>
      </c>
      <c r="K6" s="496"/>
      <c r="L6" s="496" t="s">
        <v>22</v>
      </c>
      <c r="M6" s="503" t="s">
        <v>23</v>
      </c>
      <c r="N6" s="503"/>
      <c r="O6" s="496"/>
      <c r="P6" s="553"/>
      <c r="Q6" s="553"/>
      <c r="R6" s="553"/>
      <c r="S6" s="553"/>
      <c r="T6" s="553"/>
      <c r="U6" s="553"/>
      <c r="V6" s="553"/>
      <c r="W6" s="553"/>
      <c r="X6" s="496"/>
    </row>
    <row r="7" spans="1:24" s="292" customFormat="1" ht="108" customHeight="1">
      <c r="A7" s="493"/>
      <c r="B7" s="511"/>
      <c r="C7" s="511"/>
      <c r="D7" s="496"/>
      <c r="E7" s="496"/>
      <c r="F7" s="181" t="s">
        <v>143</v>
      </c>
      <c r="G7" s="181" t="s">
        <v>144</v>
      </c>
      <c r="H7" s="496"/>
      <c r="I7" s="496"/>
      <c r="J7" s="180" t="s">
        <v>40</v>
      </c>
      <c r="K7" s="180" t="s">
        <v>41</v>
      </c>
      <c r="L7" s="496"/>
      <c r="M7" s="181" t="s">
        <v>143</v>
      </c>
      <c r="N7" s="181" t="s">
        <v>144</v>
      </c>
      <c r="O7" s="496"/>
      <c r="P7" s="554"/>
      <c r="Q7" s="554"/>
      <c r="R7" s="554"/>
      <c r="S7" s="554"/>
      <c r="T7" s="554"/>
      <c r="U7" s="554"/>
      <c r="V7" s="554"/>
      <c r="W7" s="554"/>
      <c r="X7" s="496"/>
    </row>
    <row r="8" spans="1:24">
      <c r="A8" s="296">
        <v>1</v>
      </c>
      <c r="B8" s="296">
        <v>2</v>
      </c>
      <c r="C8" s="296">
        <v>3</v>
      </c>
      <c r="D8" s="296">
        <v>4</v>
      </c>
      <c r="E8" s="296">
        <v>5</v>
      </c>
      <c r="F8" s="296">
        <v>6</v>
      </c>
      <c r="G8" s="296">
        <v>7</v>
      </c>
      <c r="H8" s="296">
        <v>8</v>
      </c>
      <c r="I8" s="296">
        <v>9</v>
      </c>
      <c r="J8" s="296">
        <v>10</v>
      </c>
      <c r="K8" s="296">
        <v>11</v>
      </c>
      <c r="L8" s="296">
        <v>12</v>
      </c>
      <c r="M8" s="296">
        <v>13</v>
      </c>
      <c r="N8" s="296">
        <v>14</v>
      </c>
      <c r="O8" s="296">
        <v>15</v>
      </c>
      <c r="P8" s="296">
        <v>16</v>
      </c>
      <c r="Q8" s="296">
        <v>17</v>
      </c>
      <c r="R8" s="296">
        <v>18</v>
      </c>
      <c r="S8" s="296">
        <v>19</v>
      </c>
      <c r="T8" s="296" t="s">
        <v>160</v>
      </c>
      <c r="U8" s="296" t="s">
        <v>161</v>
      </c>
      <c r="V8" s="296">
        <v>22</v>
      </c>
      <c r="W8" s="296">
        <v>23</v>
      </c>
      <c r="X8" s="296">
        <v>24</v>
      </c>
    </row>
    <row r="9" spans="1:24" s="293" customFormat="1" ht="15">
      <c r="A9" s="297"/>
      <c r="B9" s="298"/>
      <c r="C9" s="298"/>
      <c r="D9" s="297" t="s">
        <v>60</v>
      </c>
      <c r="E9" s="299"/>
      <c r="F9" s="298"/>
      <c r="G9" s="298"/>
      <c r="H9" s="298"/>
      <c r="I9" s="297"/>
      <c r="J9" s="297"/>
      <c r="K9" s="297"/>
      <c r="L9" s="298"/>
      <c r="M9" s="298"/>
      <c r="N9" s="298"/>
      <c r="O9" s="298"/>
      <c r="P9" s="297"/>
      <c r="Q9" s="297"/>
      <c r="R9" s="297"/>
      <c r="S9" s="297"/>
      <c r="T9" s="297"/>
      <c r="U9" s="297"/>
      <c r="V9" s="297"/>
      <c r="W9" s="297"/>
      <c r="X9" s="297"/>
    </row>
    <row r="10" spans="1:24" s="293" customFormat="1" ht="84" customHeight="1">
      <c r="A10" s="297" t="s">
        <v>61</v>
      </c>
      <c r="B10" s="298"/>
      <c r="C10" s="298"/>
      <c r="D10" s="300" t="s">
        <v>162</v>
      </c>
      <c r="E10" s="299"/>
      <c r="F10" s="298"/>
      <c r="G10" s="298"/>
      <c r="H10" s="298"/>
      <c r="I10" s="297"/>
      <c r="J10" s="297"/>
      <c r="K10" s="297"/>
      <c r="L10" s="298"/>
      <c r="M10" s="298"/>
      <c r="N10" s="298"/>
      <c r="O10" s="298"/>
      <c r="P10" s="297"/>
      <c r="Q10" s="297"/>
      <c r="R10" s="297"/>
      <c r="S10" s="297"/>
      <c r="T10" s="297"/>
      <c r="U10" s="297"/>
      <c r="V10" s="297"/>
      <c r="W10" s="297"/>
      <c r="X10" s="297"/>
    </row>
    <row r="11" spans="1:24" ht="20.149999999999999" customHeight="1">
      <c r="A11" s="301"/>
      <c r="B11" s="302"/>
      <c r="C11" s="302"/>
      <c r="D11" s="303" t="s">
        <v>145</v>
      </c>
      <c r="E11" s="304"/>
      <c r="F11" s="305"/>
      <c r="G11" s="305"/>
      <c r="H11" s="301"/>
      <c r="I11" s="301"/>
      <c r="J11" s="301"/>
      <c r="K11" s="301"/>
      <c r="L11" s="304"/>
      <c r="M11" s="305"/>
      <c r="N11" s="305"/>
      <c r="O11" s="305"/>
      <c r="P11" s="306"/>
      <c r="Q11" s="306"/>
      <c r="R11" s="306"/>
      <c r="S11" s="306"/>
      <c r="T11" s="306"/>
      <c r="U11" s="306"/>
      <c r="V11" s="306"/>
      <c r="W11" s="306"/>
      <c r="X11" s="301"/>
    </row>
    <row r="12" spans="1:24" ht="20.149999999999999" customHeight="1">
      <c r="A12" s="301"/>
      <c r="B12" s="302"/>
      <c r="C12" s="302"/>
      <c r="D12" s="302" t="s">
        <v>125</v>
      </c>
      <c r="E12" s="304"/>
      <c r="F12" s="305"/>
      <c r="G12" s="305"/>
      <c r="H12" s="301"/>
      <c r="I12" s="301"/>
      <c r="J12" s="301"/>
      <c r="K12" s="301"/>
      <c r="L12" s="304"/>
      <c r="M12" s="305"/>
      <c r="N12" s="305"/>
      <c r="O12" s="305"/>
      <c r="P12" s="306"/>
      <c r="Q12" s="306"/>
      <c r="R12" s="306"/>
      <c r="S12" s="306"/>
      <c r="T12" s="306"/>
      <c r="U12" s="306"/>
      <c r="V12" s="306"/>
      <c r="W12" s="306"/>
      <c r="X12" s="301"/>
    </row>
    <row r="13" spans="1:24" ht="67.5" customHeight="1">
      <c r="A13" s="297" t="s">
        <v>75</v>
      </c>
      <c r="B13" s="302"/>
      <c r="C13" s="302"/>
      <c r="D13" s="300" t="s">
        <v>163</v>
      </c>
      <c r="E13" s="304"/>
      <c r="F13" s="302"/>
      <c r="G13" s="302"/>
      <c r="H13" s="302"/>
      <c r="I13" s="301"/>
      <c r="J13" s="301"/>
      <c r="K13" s="301"/>
      <c r="L13" s="304"/>
      <c r="M13" s="302"/>
      <c r="N13" s="302"/>
      <c r="O13" s="302"/>
      <c r="P13" s="301"/>
      <c r="Q13" s="301"/>
      <c r="R13" s="301"/>
      <c r="S13" s="306"/>
      <c r="T13" s="306"/>
      <c r="U13" s="301"/>
      <c r="V13" s="306"/>
      <c r="W13" s="301"/>
      <c r="X13" s="301"/>
    </row>
    <row r="14" spans="1:24" ht="20.149999999999999" customHeight="1">
      <c r="A14" s="301"/>
      <c r="B14" s="302"/>
      <c r="C14" s="302"/>
      <c r="D14" s="303" t="s">
        <v>145</v>
      </c>
      <c r="E14" s="304"/>
      <c r="F14" s="305"/>
      <c r="G14" s="305"/>
      <c r="H14" s="301"/>
      <c r="I14" s="301"/>
      <c r="J14" s="301"/>
      <c r="K14" s="301"/>
      <c r="L14" s="304"/>
      <c r="M14" s="305"/>
      <c r="N14" s="305"/>
      <c r="O14" s="305"/>
      <c r="P14" s="306"/>
      <c r="Q14" s="306"/>
      <c r="R14" s="306"/>
      <c r="S14" s="306"/>
      <c r="T14" s="306"/>
      <c r="U14" s="306"/>
      <c r="V14" s="306"/>
      <c r="W14" s="306"/>
      <c r="X14" s="301"/>
    </row>
    <row r="15" spans="1:24" ht="20.149999999999999" customHeight="1">
      <c r="A15" s="301"/>
      <c r="B15" s="302"/>
      <c r="C15" s="302"/>
      <c r="D15" s="302" t="s">
        <v>125</v>
      </c>
      <c r="E15" s="304"/>
      <c r="F15" s="305"/>
      <c r="G15" s="305"/>
      <c r="H15" s="301"/>
      <c r="I15" s="301"/>
      <c r="J15" s="301"/>
      <c r="K15" s="301"/>
      <c r="L15" s="304"/>
      <c r="M15" s="305"/>
      <c r="N15" s="305"/>
      <c r="O15" s="305"/>
      <c r="P15" s="306"/>
      <c r="Q15" s="306"/>
      <c r="R15" s="306"/>
      <c r="S15" s="306"/>
      <c r="T15" s="306"/>
      <c r="U15" s="306"/>
      <c r="V15" s="306"/>
      <c r="W15" s="306"/>
      <c r="X15" s="301"/>
    </row>
    <row r="16" spans="1:24" ht="92.25" customHeight="1">
      <c r="A16" s="297" t="s">
        <v>84</v>
      </c>
      <c r="B16" s="302"/>
      <c r="C16" s="302"/>
      <c r="D16" s="300" t="s">
        <v>271</v>
      </c>
      <c r="E16" s="304"/>
      <c r="F16" s="302"/>
      <c r="G16" s="302"/>
      <c r="H16" s="302"/>
      <c r="I16" s="301"/>
      <c r="J16" s="301"/>
      <c r="K16" s="301"/>
      <c r="L16" s="304"/>
      <c r="M16" s="302"/>
      <c r="N16" s="302"/>
      <c r="O16" s="302"/>
      <c r="P16" s="301"/>
      <c r="Q16" s="301"/>
      <c r="R16" s="301"/>
      <c r="S16" s="306"/>
      <c r="T16" s="306"/>
      <c r="U16" s="301"/>
      <c r="V16" s="306"/>
      <c r="W16" s="301"/>
      <c r="X16" s="301"/>
    </row>
    <row r="17" spans="1:24">
      <c r="A17" s="301"/>
      <c r="B17" s="302"/>
      <c r="C17" s="302"/>
      <c r="D17" s="303" t="s">
        <v>145</v>
      </c>
      <c r="E17" s="304"/>
      <c r="F17" s="302"/>
      <c r="G17" s="302"/>
      <c r="H17" s="302"/>
      <c r="I17" s="301"/>
      <c r="J17" s="301"/>
      <c r="K17" s="301"/>
      <c r="L17" s="304"/>
      <c r="M17" s="302"/>
      <c r="N17" s="302"/>
      <c r="O17" s="302"/>
      <c r="P17" s="301"/>
      <c r="Q17" s="301"/>
      <c r="R17" s="301"/>
      <c r="S17" s="301"/>
      <c r="T17" s="301"/>
      <c r="U17" s="301"/>
      <c r="V17" s="301"/>
      <c r="W17" s="301"/>
      <c r="X17" s="301"/>
    </row>
    <row r="18" spans="1:24">
      <c r="A18" s="301"/>
      <c r="B18" s="302"/>
      <c r="C18" s="302"/>
      <c r="D18" s="302" t="s">
        <v>125</v>
      </c>
      <c r="E18" s="304"/>
      <c r="F18" s="302"/>
      <c r="G18" s="302"/>
      <c r="H18" s="302"/>
      <c r="I18" s="301"/>
      <c r="J18" s="301"/>
      <c r="K18" s="301"/>
      <c r="L18" s="304"/>
      <c r="M18" s="302"/>
      <c r="N18" s="302"/>
      <c r="O18" s="302"/>
      <c r="P18" s="301"/>
      <c r="Q18" s="301"/>
      <c r="R18" s="301"/>
      <c r="S18" s="301"/>
      <c r="T18" s="301"/>
      <c r="U18" s="301"/>
      <c r="V18" s="301"/>
      <c r="W18" s="301"/>
      <c r="X18" s="301"/>
    </row>
    <row r="19" spans="1:24">
      <c r="A19" s="301"/>
      <c r="B19" s="302"/>
      <c r="C19" s="302"/>
      <c r="D19" s="302"/>
      <c r="E19" s="304"/>
      <c r="F19" s="302"/>
      <c r="G19" s="302"/>
      <c r="H19" s="302"/>
      <c r="I19" s="301"/>
      <c r="J19" s="301"/>
      <c r="K19" s="301"/>
      <c r="L19" s="304"/>
      <c r="M19" s="302"/>
      <c r="N19" s="302"/>
      <c r="O19" s="302"/>
      <c r="P19" s="301"/>
      <c r="Q19" s="301"/>
      <c r="R19" s="301"/>
      <c r="S19" s="301"/>
      <c r="T19" s="301"/>
      <c r="U19" s="301"/>
      <c r="V19" s="301"/>
      <c r="W19" s="301"/>
      <c r="X19" s="301"/>
    </row>
  </sheetData>
  <mergeCells count="31">
    <mergeCell ref="X4:X7"/>
    <mergeCell ref="S5:S7"/>
    <mergeCell ref="T5:T7"/>
    <mergeCell ref="U5:U7"/>
    <mergeCell ref="V5:V7"/>
    <mergeCell ref="W5:W7"/>
    <mergeCell ref="E5:G5"/>
    <mergeCell ref="H5:N5"/>
    <mergeCell ref="F6:G6"/>
    <mergeCell ref="J6:K6"/>
    <mergeCell ref="M6:N6"/>
    <mergeCell ref="E6:E7"/>
    <mergeCell ref="H6:H7"/>
    <mergeCell ref="I6:I7"/>
    <mergeCell ref="L6:L7"/>
    <mergeCell ref="A1:X1"/>
    <mergeCell ref="A2:X2"/>
    <mergeCell ref="A3:X3"/>
    <mergeCell ref="E4:N4"/>
    <mergeCell ref="P4:Q4"/>
    <mergeCell ref="R4:S4"/>
    <mergeCell ref="T4:U4"/>
    <mergeCell ref="V4:W4"/>
    <mergeCell ref="A4:A7"/>
    <mergeCell ref="B4:B7"/>
    <mergeCell ref="C4:C7"/>
    <mergeCell ref="D4:D7"/>
    <mergeCell ref="O4:O7"/>
    <mergeCell ref="P5:P7"/>
    <mergeCell ref="Q5:Q7"/>
    <mergeCell ref="R5:R7"/>
  </mergeCells>
  <pageMargins left="0.47" right="0.25" top="0.56999999999999995" bottom="0.75" header="0.3" footer="0.3"/>
  <pageSetup paperSize="8" scale="63"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33"/>
  <sheetViews>
    <sheetView topLeftCell="A58" workbookViewId="0">
      <selection activeCell="B38" sqref="B38"/>
    </sheetView>
  </sheetViews>
  <sheetFormatPr defaultColWidth="9" defaultRowHeight="14.5"/>
  <cols>
    <col min="1" max="1" width="8.54296875" style="287" customWidth="1"/>
    <col min="2" max="2" width="79.54296875" customWidth="1"/>
  </cols>
  <sheetData>
    <row r="1" spans="1:2" ht="27" customHeight="1">
      <c r="A1" s="575" t="s">
        <v>554</v>
      </c>
      <c r="B1" s="575"/>
    </row>
    <row r="2" spans="1:2" ht="18">
      <c r="A2" s="288">
        <v>1</v>
      </c>
      <c r="B2" s="289" t="s">
        <v>555</v>
      </c>
    </row>
    <row r="3" spans="1:2" ht="18">
      <c r="A3" s="288">
        <v>2</v>
      </c>
      <c r="B3" s="289" t="s">
        <v>556</v>
      </c>
    </row>
    <row r="4" spans="1:2" ht="18">
      <c r="A4" s="288">
        <v>4</v>
      </c>
      <c r="B4" s="289" t="s">
        <v>557</v>
      </c>
    </row>
    <row r="5" spans="1:2" ht="18">
      <c r="A5" s="288">
        <v>3</v>
      </c>
      <c r="B5" s="289" t="s">
        <v>558</v>
      </c>
    </row>
    <row r="6" spans="1:2" ht="18">
      <c r="A6" s="288">
        <v>5</v>
      </c>
      <c r="B6" s="289" t="s">
        <v>559</v>
      </c>
    </row>
    <row r="7" spans="1:2" ht="18">
      <c r="A7" s="288">
        <v>6</v>
      </c>
      <c r="B7" s="289" t="s">
        <v>560</v>
      </c>
    </row>
    <row r="8" spans="1:2" ht="18">
      <c r="A8" s="290" t="s">
        <v>561</v>
      </c>
      <c r="B8" s="291" t="s">
        <v>562</v>
      </c>
    </row>
    <row r="9" spans="1:2" ht="18">
      <c r="A9" s="290" t="s">
        <v>563</v>
      </c>
      <c r="B9" s="291" t="s">
        <v>564</v>
      </c>
    </row>
    <row r="10" spans="1:2" ht="18">
      <c r="A10" s="288">
        <v>7</v>
      </c>
      <c r="B10" s="289" t="s">
        <v>565</v>
      </c>
    </row>
    <row r="11" spans="1:2" ht="18">
      <c r="A11" s="288">
        <v>8</v>
      </c>
      <c r="B11" s="289" t="s">
        <v>566</v>
      </c>
    </row>
    <row r="12" spans="1:2" ht="18">
      <c r="A12" s="288">
        <v>9</v>
      </c>
      <c r="B12" s="289" t="s">
        <v>567</v>
      </c>
    </row>
    <row r="13" spans="1:2" ht="18">
      <c r="A13" s="290" t="s">
        <v>568</v>
      </c>
      <c r="B13" s="291" t="s">
        <v>79</v>
      </c>
    </row>
    <row r="14" spans="1:2" ht="18">
      <c r="A14" s="290" t="s">
        <v>569</v>
      </c>
      <c r="B14" s="291" t="s">
        <v>570</v>
      </c>
    </row>
    <row r="15" spans="1:2" ht="18">
      <c r="A15" s="288">
        <v>10</v>
      </c>
      <c r="B15" s="289" t="s">
        <v>571</v>
      </c>
    </row>
    <row r="16" spans="1:2" ht="18">
      <c r="A16" s="290" t="s">
        <v>572</v>
      </c>
      <c r="B16" s="291" t="s">
        <v>63</v>
      </c>
    </row>
    <row r="17" spans="1:2" ht="18">
      <c r="A17" s="290" t="s">
        <v>573</v>
      </c>
      <c r="B17" s="291" t="s">
        <v>574</v>
      </c>
    </row>
    <row r="18" spans="1:2" ht="18">
      <c r="A18" s="290" t="s">
        <v>575</v>
      </c>
      <c r="B18" s="291" t="s">
        <v>576</v>
      </c>
    </row>
    <row r="19" spans="1:2" ht="18">
      <c r="A19" s="290" t="s">
        <v>577</v>
      </c>
      <c r="B19" s="291" t="s">
        <v>578</v>
      </c>
    </row>
    <row r="20" spans="1:2" ht="18">
      <c r="A20" s="290" t="s">
        <v>579</v>
      </c>
      <c r="B20" s="291" t="s">
        <v>580</v>
      </c>
    </row>
    <row r="21" spans="1:2" ht="18">
      <c r="A21" s="290" t="s">
        <v>581</v>
      </c>
      <c r="B21" s="291" t="s">
        <v>488</v>
      </c>
    </row>
    <row r="22" spans="1:2" ht="18">
      <c r="A22" s="290" t="s">
        <v>582</v>
      </c>
      <c r="B22" s="291" t="s">
        <v>583</v>
      </c>
    </row>
    <row r="23" spans="1:2" ht="18">
      <c r="A23" s="290" t="s">
        <v>584</v>
      </c>
      <c r="B23" s="291" t="s">
        <v>585</v>
      </c>
    </row>
    <row r="24" spans="1:2" ht="18">
      <c r="A24" s="290" t="s">
        <v>586</v>
      </c>
      <c r="B24" s="291" t="s">
        <v>587</v>
      </c>
    </row>
    <row r="25" spans="1:2" ht="18">
      <c r="A25" s="290" t="s">
        <v>588</v>
      </c>
      <c r="B25" s="291" t="s">
        <v>589</v>
      </c>
    </row>
    <row r="26" spans="1:2" ht="18">
      <c r="A26" s="290" t="s">
        <v>590</v>
      </c>
      <c r="B26" s="291" t="s">
        <v>591</v>
      </c>
    </row>
    <row r="27" spans="1:2" ht="18">
      <c r="A27" s="290" t="s">
        <v>592</v>
      </c>
      <c r="B27" s="291" t="s">
        <v>593</v>
      </c>
    </row>
    <row r="28" spans="1:2" ht="36">
      <c r="A28" s="290" t="s">
        <v>594</v>
      </c>
      <c r="B28" s="291" t="s">
        <v>595</v>
      </c>
    </row>
    <row r="29" spans="1:2" ht="18">
      <c r="A29" s="290" t="s">
        <v>596</v>
      </c>
      <c r="B29" s="291" t="s">
        <v>597</v>
      </c>
    </row>
    <row r="30" spans="1:2" ht="126">
      <c r="A30" s="290" t="s">
        <v>598</v>
      </c>
      <c r="B30" s="291" t="s">
        <v>599</v>
      </c>
    </row>
    <row r="31" spans="1:2" ht="36">
      <c r="A31" s="288">
        <v>11</v>
      </c>
      <c r="B31" s="289" t="s">
        <v>600</v>
      </c>
    </row>
    <row r="32" spans="1:2" ht="18">
      <c r="A32" s="288">
        <v>12</v>
      </c>
      <c r="B32" s="289" t="s">
        <v>72</v>
      </c>
    </row>
    <row r="33" spans="1:2" ht="18">
      <c r="A33" s="288">
        <v>13</v>
      </c>
      <c r="B33" s="289" t="s">
        <v>601</v>
      </c>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X27"/>
  <sheetViews>
    <sheetView topLeftCell="A4" zoomScale="55" zoomScaleNormal="55" workbookViewId="0">
      <selection activeCell="U17" sqref="U17"/>
    </sheetView>
  </sheetViews>
  <sheetFormatPr defaultColWidth="9.1796875" defaultRowHeight="15.5"/>
  <cols>
    <col min="1" max="1" width="6.7265625" style="3" customWidth="1"/>
    <col min="2" max="2" width="11.81640625" style="8" customWidth="1"/>
    <col min="3" max="3" width="10.7265625" style="8" customWidth="1"/>
    <col min="4" max="4" width="26.7265625" style="8" customWidth="1"/>
    <col min="5" max="5" width="12.54296875" style="8" customWidth="1"/>
    <col min="6" max="6" width="12" style="8" customWidth="1"/>
    <col min="7" max="7" width="11.7265625" style="8" customWidth="1"/>
    <col min="8" max="8" width="10.7265625" style="8" customWidth="1"/>
    <col min="9" max="9" width="13.7265625" style="3" customWidth="1"/>
    <col min="10" max="11" width="10.7265625" style="3" customWidth="1"/>
    <col min="12" max="12" width="12.1796875" style="8" customWidth="1"/>
    <col min="13" max="13" width="12" style="8" customWidth="1"/>
    <col min="14" max="14" width="11.453125" style="8" customWidth="1"/>
    <col min="15" max="15" width="10.7265625" style="8" customWidth="1"/>
    <col min="16" max="16" width="15" style="3" customWidth="1"/>
    <col min="17" max="17" width="14.7265625" style="3" customWidth="1"/>
    <col min="18" max="21" width="15" style="3" customWidth="1"/>
    <col min="22" max="22" width="13.7265625" style="3" customWidth="1"/>
    <col min="23" max="23" width="13.453125" style="3" customWidth="1"/>
    <col min="24" max="24" width="15" style="3" customWidth="1"/>
    <col min="25" max="25" width="24.453125" style="8" customWidth="1"/>
    <col min="26" max="16384" width="9.1796875" style="8"/>
  </cols>
  <sheetData>
    <row r="1" spans="1:24" ht="31.5" customHeight="1">
      <c r="A1" s="512" t="s">
        <v>602</v>
      </c>
      <c r="B1" s="513"/>
      <c r="C1" s="513"/>
      <c r="D1" s="513"/>
      <c r="E1" s="513"/>
      <c r="F1" s="513"/>
      <c r="G1" s="513"/>
      <c r="H1" s="513"/>
      <c r="I1" s="513"/>
      <c r="J1" s="513"/>
      <c r="K1" s="513"/>
      <c r="L1" s="513"/>
      <c r="M1" s="513"/>
      <c r="N1" s="513"/>
      <c r="O1" s="513"/>
      <c r="P1" s="513"/>
      <c r="Q1" s="514"/>
      <c r="R1" s="514"/>
      <c r="S1" s="514"/>
      <c r="T1" s="514"/>
      <c r="U1" s="514"/>
      <c r="V1" s="514"/>
      <c r="W1" s="514"/>
      <c r="X1" s="514"/>
    </row>
    <row r="2" spans="1:24" ht="63.75" customHeight="1">
      <c r="A2" s="512" t="s">
        <v>603</v>
      </c>
      <c r="B2" s="513"/>
      <c r="C2" s="513"/>
      <c r="D2" s="513"/>
      <c r="E2" s="513"/>
      <c r="F2" s="513"/>
      <c r="G2" s="513"/>
      <c r="H2" s="513"/>
      <c r="I2" s="513"/>
      <c r="J2" s="513"/>
      <c r="K2" s="513"/>
      <c r="L2" s="513"/>
      <c r="M2" s="513"/>
      <c r="N2" s="513"/>
      <c r="O2" s="513"/>
      <c r="P2" s="513"/>
      <c r="Q2" s="514"/>
      <c r="R2" s="514"/>
      <c r="S2" s="514"/>
      <c r="T2" s="514"/>
      <c r="U2" s="514"/>
      <c r="V2" s="514"/>
      <c r="W2" s="514"/>
      <c r="X2" s="514"/>
    </row>
    <row r="3" spans="1:24" ht="33" customHeight="1">
      <c r="A3" s="515" t="s">
        <v>2</v>
      </c>
      <c r="B3" s="516"/>
      <c r="C3" s="516"/>
      <c r="D3" s="516"/>
      <c r="E3" s="516"/>
      <c r="F3" s="516"/>
      <c r="G3" s="516"/>
      <c r="H3" s="516"/>
      <c r="I3" s="516"/>
      <c r="J3" s="516"/>
      <c r="K3" s="516"/>
      <c r="L3" s="516"/>
      <c r="M3" s="516"/>
      <c r="N3" s="516"/>
      <c r="O3" s="516"/>
      <c r="P3" s="516"/>
      <c r="Q3" s="517"/>
      <c r="R3" s="517"/>
      <c r="S3" s="517"/>
      <c r="T3" s="517"/>
      <c r="U3" s="517"/>
      <c r="V3" s="517"/>
      <c r="W3" s="517"/>
      <c r="X3" s="517"/>
    </row>
    <row r="4" spans="1:24" s="4" customFormat="1" ht="68.25" customHeight="1">
      <c r="A4" s="493" t="s">
        <v>3</v>
      </c>
      <c r="B4" s="493" t="s">
        <v>4</v>
      </c>
      <c r="C4" s="493" t="s">
        <v>5</v>
      </c>
      <c r="D4" s="496" t="s">
        <v>7</v>
      </c>
      <c r="E4" s="493" t="s">
        <v>153</v>
      </c>
      <c r="F4" s="493"/>
      <c r="G4" s="493"/>
      <c r="H4" s="493"/>
      <c r="I4" s="493"/>
      <c r="J4" s="493"/>
      <c r="K4" s="493"/>
      <c r="L4" s="493"/>
      <c r="M4" s="493"/>
      <c r="N4" s="493"/>
      <c r="O4" s="496" t="s">
        <v>9</v>
      </c>
      <c r="P4" s="518" t="s">
        <v>154</v>
      </c>
      <c r="Q4" s="519"/>
      <c r="R4" s="518" t="s">
        <v>155</v>
      </c>
      <c r="S4" s="519"/>
      <c r="T4" s="518" t="s">
        <v>156</v>
      </c>
      <c r="U4" s="519"/>
      <c r="V4" s="518" t="s">
        <v>157</v>
      </c>
      <c r="W4" s="519"/>
      <c r="X4" s="496" t="s">
        <v>14</v>
      </c>
    </row>
    <row r="5" spans="1:24" s="4" customFormat="1" ht="39.75" customHeight="1">
      <c r="A5" s="493"/>
      <c r="B5" s="493"/>
      <c r="C5" s="493"/>
      <c r="D5" s="496"/>
      <c r="E5" s="493" t="s">
        <v>15</v>
      </c>
      <c r="F5" s="493"/>
      <c r="G5" s="493"/>
      <c r="H5" s="493" t="s">
        <v>16</v>
      </c>
      <c r="I5" s="493"/>
      <c r="J5" s="493"/>
      <c r="K5" s="493"/>
      <c r="L5" s="493"/>
      <c r="M5" s="493"/>
      <c r="N5" s="493"/>
      <c r="O5" s="496"/>
      <c r="P5" s="520" t="s">
        <v>285</v>
      </c>
      <c r="Q5" s="520" t="s">
        <v>104</v>
      </c>
      <c r="R5" s="520" t="s">
        <v>285</v>
      </c>
      <c r="S5" s="520" t="s">
        <v>104</v>
      </c>
      <c r="T5" s="520" t="s">
        <v>285</v>
      </c>
      <c r="U5" s="520" t="s">
        <v>104</v>
      </c>
      <c r="V5" s="520" t="s">
        <v>285</v>
      </c>
      <c r="W5" s="520" t="s">
        <v>104</v>
      </c>
      <c r="X5" s="496"/>
    </row>
    <row r="6" spans="1:24" s="4" customFormat="1">
      <c r="A6" s="493"/>
      <c r="B6" s="493"/>
      <c r="C6" s="493"/>
      <c r="D6" s="496"/>
      <c r="E6" s="496" t="s">
        <v>22</v>
      </c>
      <c r="F6" s="503" t="s">
        <v>23</v>
      </c>
      <c r="G6" s="503"/>
      <c r="H6" s="496" t="s">
        <v>24</v>
      </c>
      <c r="I6" s="496" t="s">
        <v>25</v>
      </c>
      <c r="J6" s="496" t="s">
        <v>26</v>
      </c>
      <c r="K6" s="496"/>
      <c r="L6" s="496" t="s">
        <v>22</v>
      </c>
      <c r="M6" s="503" t="s">
        <v>23</v>
      </c>
      <c r="N6" s="503"/>
      <c r="O6" s="496"/>
      <c r="P6" s="521"/>
      <c r="Q6" s="521"/>
      <c r="R6" s="521"/>
      <c r="S6" s="521"/>
      <c r="T6" s="521"/>
      <c r="U6" s="521"/>
      <c r="V6" s="521"/>
      <c r="W6" s="521"/>
      <c r="X6" s="496"/>
    </row>
    <row r="7" spans="1:24" s="4" customFormat="1" ht="126" customHeight="1">
      <c r="A7" s="493"/>
      <c r="B7" s="493"/>
      <c r="C7" s="493"/>
      <c r="D7" s="496"/>
      <c r="E7" s="496"/>
      <c r="F7" s="181" t="s">
        <v>285</v>
      </c>
      <c r="G7" s="181" t="s">
        <v>104</v>
      </c>
      <c r="H7" s="496"/>
      <c r="I7" s="496"/>
      <c r="J7" s="180" t="s">
        <v>40</v>
      </c>
      <c r="K7" s="180" t="s">
        <v>41</v>
      </c>
      <c r="L7" s="496"/>
      <c r="M7" s="181" t="s">
        <v>285</v>
      </c>
      <c r="N7" s="181" t="s">
        <v>104</v>
      </c>
      <c r="O7" s="496"/>
      <c r="P7" s="522"/>
      <c r="Q7" s="522"/>
      <c r="R7" s="522"/>
      <c r="S7" s="522"/>
      <c r="T7" s="522"/>
      <c r="U7" s="522"/>
      <c r="V7" s="522"/>
      <c r="W7" s="522"/>
      <c r="X7" s="496"/>
    </row>
    <row r="8" spans="1:24">
      <c r="A8" s="265">
        <v>1</v>
      </c>
      <c r="B8" s="265">
        <v>2</v>
      </c>
      <c r="C8" s="265">
        <v>3</v>
      </c>
      <c r="D8" s="265">
        <v>4</v>
      </c>
      <c r="E8" s="265">
        <v>5</v>
      </c>
      <c r="F8" s="265">
        <v>6</v>
      </c>
      <c r="G8" s="265">
        <v>7</v>
      </c>
      <c r="H8" s="265">
        <v>8</v>
      </c>
      <c r="I8" s="265">
        <v>9</v>
      </c>
      <c r="J8" s="265">
        <v>10</v>
      </c>
      <c r="K8" s="265">
        <v>11</v>
      </c>
      <c r="L8" s="265">
        <v>12</v>
      </c>
      <c r="M8" s="265">
        <v>13</v>
      </c>
      <c r="N8" s="265">
        <v>14</v>
      </c>
      <c r="O8" s="265">
        <v>15</v>
      </c>
      <c r="P8" s="265">
        <v>16</v>
      </c>
      <c r="Q8" s="265">
        <v>17</v>
      </c>
      <c r="R8" s="265">
        <v>18</v>
      </c>
      <c r="S8" s="265">
        <v>19</v>
      </c>
      <c r="T8" s="265" t="s">
        <v>160</v>
      </c>
      <c r="U8" s="265" t="s">
        <v>161</v>
      </c>
      <c r="V8" s="265">
        <v>22</v>
      </c>
      <c r="W8" s="265">
        <v>23</v>
      </c>
      <c r="X8" s="265">
        <v>24</v>
      </c>
    </row>
    <row r="9" spans="1:24" s="81" customFormat="1" ht="24" customHeight="1">
      <c r="A9" s="266"/>
      <c r="B9" s="267"/>
      <c r="C9" s="267"/>
      <c r="D9" s="266" t="s">
        <v>60</v>
      </c>
      <c r="E9" s="268"/>
      <c r="F9" s="269">
        <f>F10+F11+F24</f>
        <v>180000</v>
      </c>
      <c r="G9" s="269">
        <f>G10+G11+G24</f>
        <v>180000</v>
      </c>
      <c r="H9" s="267"/>
      <c r="I9" s="266"/>
      <c r="J9" s="266"/>
      <c r="K9" s="266"/>
      <c r="L9" s="267"/>
      <c r="M9" s="269">
        <f>M10+M11+M24</f>
        <v>180000</v>
      </c>
      <c r="N9" s="269">
        <f>N10+N11+N24</f>
        <v>180000</v>
      </c>
      <c r="O9" s="267"/>
      <c r="P9" s="266"/>
      <c r="Q9" s="266"/>
      <c r="R9" s="266"/>
      <c r="S9" s="266"/>
      <c r="T9" s="266"/>
      <c r="U9" s="266"/>
      <c r="V9" s="269">
        <f>V10+V11+V24</f>
        <v>180000</v>
      </c>
      <c r="W9" s="269">
        <f>W10+W11+W24</f>
        <v>180000</v>
      </c>
      <c r="X9" s="266"/>
    </row>
    <row r="10" spans="1:24" s="81" customFormat="1" ht="57.75" customHeight="1">
      <c r="A10" s="36" t="s">
        <v>61</v>
      </c>
      <c r="B10" s="37"/>
      <c r="C10" s="37"/>
      <c r="D10" s="36" t="s">
        <v>162</v>
      </c>
      <c r="E10" s="270"/>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6"/>
    </row>
    <row r="11" spans="1:24" s="81" customFormat="1" ht="48.75" customHeight="1">
      <c r="A11" s="36" t="s">
        <v>75</v>
      </c>
      <c r="B11" s="37"/>
      <c r="C11" s="37"/>
      <c r="D11" s="36" t="s">
        <v>163</v>
      </c>
      <c r="E11" s="271"/>
      <c r="F11" s="272">
        <f>F12+F19+F22</f>
        <v>175000</v>
      </c>
      <c r="G11" s="272">
        <f>G12+G19+G22</f>
        <v>175000</v>
      </c>
      <c r="H11" s="37"/>
      <c r="I11" s="36"/>
      <c r="J11" s="36"/>
      <c r="K11" s="36"/>
      <c r="L11" s="271"/>
      <c r="M11" s="272">
        <f>M12+M19+M22</f>
        <v>175000</v>
      </c>
      <c r="N11" s="272">
        <f>N12+N19+N22</f>
        <v>175000</v>
      </c>
      <c r="O11" s="37"/>
      <c r="P11" s="36"/>
      <c r="Q11" s="36"/>
      <c r="R11" s="36"/>
      <c r="S11" s="285"/>
      <c r="T11" s="285"/>
      <c r="U11" s="36"/>
      <c r="V11" s="272">
        <f>V12+V19+V22</f>
        <v>175000</v>
      </c>
      <c r="W11" s="272">
        <f>W12+W19+W22</f>
        <v>175000</v>
      </c>
      <c r="X11" s="36"/>
    </row>
    <row r="12" spans="1:24" s="26" customFormat="1" ht="48" customHeight="1">
      <c r="A12" s="273" t="s">
        <v>218</v>
      </c>
      <c r="B12" s="576" t="s">
        <v>604</v>
      </c>
      <c r="C12" s="577"/>
      <c r="D12" s="578"/>
      <c r="E12" s="274"/>
      <c r="F12" s="275">
        <f>SUM(F13:F18)</f>
        <v>70000</v>
      </c>
      <c r="G12" s="275">
        <f>SUM(G13:G18)</f>
        <v>70000</v>
      </c>
      <c r="H12" s="273"/>
      <c r="I12" s="273"/>
      <c r="J12" s="273"/>
      <c r="K12" s="273"/>
      <c r="L12" s="279"/>
      <c r="M12" s="275">
        <f>SUM(M13:M18)</f>
        <v>70000</v>
      </c>
      <c r="N12" s="275">
        <f>SUM(N13:N18)</f>
        <v>70000</v>
      </c>
      <c r="O12" s="280"/>
      <c r="P12" s="280"/>
      <c r="Q12" s="280"/>
      <c r="R12" s="280"/>
      <c r="S12" s="280"/>
      <c r="T12" s="280"/>
      <c r="U12" s="280"/>
      <c r="V12" s="275">
        <f>SUM(V13:V18)</f>
        <v>70000</v>
      </c>
      <c r="W12" s="275">
        <f>SUM(W13:W18)</f>
        <v>70000</v>
      </c>
      <c r="X12" s="273"/>
    </row>
    <row r="13" spans="1:24" ht="99" customHeight="1">
      <c r="A13" s="18">
        <v>1</v>
      </c>
      <c r="B13" s="193" t="s">
        <v>63</v>
      </c>
      <c r="C13" s="18" t="s">
        <v>164</v>
      </c>
      <c r="D13" s="49" t="s">
        <v>605</v>
      </c>
      <c r="E13" s="240"/>
      <c r="F13" s="137">
        <v>18000</v>
      </c>
      <c r="G13" s="137">
        <v>18000</v>
      </c>
      <c r="H13" s="18" t="s">
        <v>166</v>
      </c>
      <c r="I13" s="18" t="s">
        <v>606</v>
      </c>
      <c r="J13" s="18">
        <v>2026</v>
      </c>
      <c r="K13" s="18">
        <v>2027</v>
      </c>
      <c r="L13" s="281" t="s">
        <v>168</v>
      </c>
      <c r="M13" s="137">
        <f>N13</f>
        <v>18000</v>
      </c>
      <c r="N13" s="137">
        <f>G13</f>
        <v>18000</v>
      </c>
      <c r="O13" s="436" t="s">
        <v>169</v>
      </c>
      <c r="P13" s="282"/>
      <c r="Q13" s="282"/>
      <c r="R13" s="282"/>
      <c r="S13" s="282"/>
      <c r="T13" s="282"/>
      <c r="U13" s="282"/>
      <c r="V13" s="282">
        <f>W13</f>
        <v>18000</v>
      </c>
      <c r="W13" s="282">
        <f>N13</f>
        <v>18000</v>
      </c>
      <c r="X13" s="18" t="s">
        <v>534</v>
      </c>
    </row>
    <row r="14" spans="1:24" ht="99" customHeight="1">
      <c r="A14" s="18">
        <v>2</v>
      </c>
      <c r="B14" s="193" t="s">
        <v>63</v>
      </c>
      <c r="C14" s="18" t="s">
        <v>164</v>
      </c>
      <c r="D14" s="49" t="s">
        <v>607</v>
      </c>
      <c r="E14" s="240"/>
      <c r="F14" s="137">
        <v>6000</v>
      </c>
      <c r="G14" s="137">
        <v>6000</v>
      </c>
      <c r="H14" s="18" t="s">
        <v>166</v>
      </c>
      <c r="I14" s="18" t="s">
        <v>608</v>
      </c>
      <c r="J14" s="18">
        <v>2026</v>
      </c>
      <c r="K14" s="18">
        <v>2027</v>
      </c>
      <c r="L14" s="281" t="s">
        <v>168</v>
      </c>
      <c r="M14" s="137">
        <f t="shared" ref="M14:M21" si="0">N14</f>
        <v>6000</v>
      </c>
      <c r="N14" s="137">
        <f t="shared" ref="N14:N24" si="1">G14</f>
        <v>6000</v>
      </c>
      <c r="O14" s="436" t="s">
        <v>169</v>
      </c>
      <c r="P14" s="282"/>
      <c r="Q14" s="282"/>
      <c r="R14" s="282"/>
      <c r="S14" s="282"/>
      <c r="T14" s="282"/>
      <c r="U14" s="282"/>
      <c r="V14" s="282">
        <f t="shared" ref="V14:V21" si="2">W14</f>
        <v>6000</v>
      </c>
      <c r="W14" s="282">
        <f t="shared" ref="W14:W21" si="3">N14</f>
        <v>6000</v>
      </c>
      <c r="X14" s="18" t="s">
        <v>534</v>
      </c>
    </row>
    <row r="15" spans="1:24" ht="99" customHeight="1">
      <c r="A15" s="18">
        <v>3</v>
      </c>
      <c r="B15" s="193" t="s">
        <v>63</v>
      </c>
      <c r="C15" s="18" t="s">
        <v>164</v>
      </c>
      <c r="D15" s="49" t="s">
        <v>609</v>
      </c>
      <c r="E15" s="240"/>
      <c r="F15" s="137">
        <v>28000</v>
      </c>
      <c r="G15" s="137">
        <v>28000</v>
      </c>
      <c r="H15" s="18" t="s">
        <v>166</v>
      </c>
      <c r="I15" s="18" t="s">
        <v>610</v>
      </c>
      <c r="J15" s="18">
        <v>2027</v>
      </c>
      <c r="K15" s="18">
        <v>2028</v>
      </c>
      <c r="L15" s="281" t="s">
        <v>180</v>
      </c>
      <c r="M15" s="137">
        <f t="shared" si="0"/>
        <v>28000</v>
      </c>
      <c r="N15" s="137">
        <f t="shared" si="1"/>
        <v>28000</v>
      </c>
      <c r="O15" s="436" t="s">
        <v>611</v>
      </c>
      <c r="P15" s="282"/>
      <c r="Q15" s="282"/>
      <c r="R15" s="282"/>
      <c r="S15" s="282"/>
      <c r="T15" s="282"/>
      <c r="U15" s="282"/>
      <c r="V15" s="282">
        <f t="shared" si="2"/>
        <v>28000</v>
      </c>
      <c r="W15" s="282">
        <f t="shared" si="3"/>
        <v>28000</v>
      </c>
      <c r="X15" s="18" t="s">
        <v>534</v>
      </c>
    </row>
    <row r="16" spans="1:24" ht="99" customHeight="1">
      <c r="A16" s="18">
        <v>4</v>
      </c>
      <c r="B16" s="193" t="s">
        <v>63</v>
      </c>
      <c r="C16" s="18" t="s">
        <v>164</v>
      </c>
      <c r="D16" s="49" t="s">
        <v>612</v>
      </c>
      <c r="E16" s="240"/>
      <c r="F16" s="137">
        <v>7500</v>
      </c>
      <c r="G16" s="137">
        <v>7500</v>
      </c>
      <c r="H16" s="18" t="s">
        <v>166</v>
      </c>
      <c r="I16" s="18" t="s">
        <v>467</v>
      </c>
      <c r="J16" s="18">
        <v>2027</v>
      </c>
      <c r="K16" s="18">
        <v>2028</v>
      </c>
      <c r="L16" s="281" t="s">
        <v>180</v>
      </c>
      <c r="M16" s="137">
        <f t="shared" ref="M16" si="4">N16</f>
        <v>7500</v>
      </c>
      <c r="N16" s="137">
        <f t="shared" ref="N16" si="5">G16</f>
        <v>7500</v>
      </c>
      <c r="O16" s="436" t="s">
        <v>611</v>
      </c>
      <c r="P16" s="282"/>
      <c r="Q16" s="282"/>
      <c r="R16" s="282"/>
      <c r="S16" s="282"/>
      <c r="T16" s="282"/>
      <c r="U16" s="282"/>
      <c r="V16" s="282">
        <f t="shared" ref="V16" si="6">W16</f>
        <v>7500</v>
      </c>
      <c r="W16" s="282">
        <f t="shared" ref="W16" si="7">N16</f>
        <v>7500</v>
      </c>
      <c r="X16" s="18"/>
    </row>
    <row r="17" spans="1:24" ht="99" customHeight="1">
      <c r="A17" s="18">
        <v>5</v>
      </c>
      <c r="B17" s="193" t="s">
        <v>583</v>
      </c>
      <c r="C17" s="18" t="s">
        <v>164</v>
      </c>
      <c r="D17" s="49" t="s">
        <v>613</v>
      </c>
      <c r="E17" s="240"/>
      <c r="F17" s="137">
        <v>7000</v>
      </c>
      <c r="G17" s="137">
        <v>7000</v>
      </c>
      <c r="H17" s="18" t="s">
        <v>166</v>
      </c>
      <c r="I17" s="18" t="s">
        <v>614</v>
      </c>
      <c r="J17" s="18">
        <v>2027</v>
      </c>
      <c r="K17" s="18">
        <v>2028</v>
      </c>
      <c r="L17" s="281" t="s">
        <v>180</v>
      </c>
      <c r="M17" s="137">
        <f t="shared" ref="M17" si="8">N17</f>
        <v>7000</v>
      </c>
      <c r="N17" s="137">
        <f t="shared" ref="N17" si="9">G17</f>
        <v>7000</v>
      </c>
      <c r="O17" s="282">
        <f>J17</f>
        <v>2027</v>
      </c>
      <c r="P17" s="282"/>
      <c r="Q17" s="282"/>
      <c r="R17" s="282"/>
      <c r="S17" s="282"/>
      <c r="T17" s="282"/>
      <c r="U17" s="282"/>
      <c r="V17" s="282">
        <f t="shared" ref="V17" si="10">W17</f>
        <v>7000</v>
      </c>
      <c r="W17" s="282">
        <f t="shared" ref="W17" si="11">N17</f>
        <v>7000</v>
      </c>
      <c r="X17" s="18" t="s">
        <v>534</v>
      </c>
    </row>
    <row r="18" spans="1:24" ht="93.75" customHeight="1">
      <c r="A18" s="18">
        <v>6</v>
      </c>
      <c r="B18" s="193" t="s">
        <v>63</v>
      </c>
      <c r="C18" s="18" t="s">
        <v>164</v>
      </c>
      <c r="D18" s="49" t="s">
        <v>615</v>
      </c>
      <c r="E18" s="240"/>
      <c r="F18" s="137">
        <v>3500</v>
      </c>
      <c r="G18" s="137">
        <v>3500</v>
      </c>
      <c r="H18" s="18" t="s">
        <v>166</v>
      </c>
      <c r="I18" s="18" t="s">
        <v>616</v>
      </c>
      <c r="J18" s="18">
        <v>2028</v>
      </c>
      <c r="K18" s="18">
        <v>2029</v>
      </c>
      <c r="L18" s="281" t="s">
        <v>252</v>
      </c>
      <c r="M18" s="137">
        <f t="shared" si="0"/>
        <v>3500</v>
      </c>
      <c r="N18" s="137">
        <f t="shared" si="1"/>
        <v>3500</v>
      </c>
      <c r="O18" s="282">
        <v>2028</v>
      </c>
      <c r="P18" s="282"/>
      <c r="Q18" s="282"/>
      <c r="R18" s="282"/>
      <c r="S18" s="282"/>
      <c r="T18" s="282"/>
      <c r="U18" s="282"/>
      <c r="V18" s="282">
        <f t="shared" si="2"/>
        <v>3500</v>
      </c>
      <c r="W18" s="282">
        <f t="shared" si="3"/>
        <v>3500</v>
      </c>
      <c r="X18" s="18" t="s">
        <v>534</v>
      </c>
    </row>
    <row r="19" spans="1:24" s="26" customFormat="1" ht="31.5" customHeight="1">
      <c r="A19" s="273" t="s">
        <v>486</v>
      </c>
      <c r="B19" s="576" t="s">
        <v>617</v>
      </c>
      <c r="C19" s="577"/>
      <c r="D19" s="578"/>
      <c r="E19" s="274"/>
      <c r="F19" s="275">
        <f>SUM(F20:F21)</f>
        <v>105000</v>
      </c>
      <c r="G19" s="275">
        <f>SUM(G20:G21)</f>
        <v>105000</v>
      </c>
      <c r="H19" s="273"/>
      <c r="I19" s="273"/>
      <c r="J19" s="273"/>
      <c r="K19" s="273"/>
      <c r="L19" s="283"/>
      <c r="M19" s="275">
        <f>SUM(M20:M21)</f>
        <v>105000</v>
      </c>
      <c r="N19" s="275">
        <f>SUM(N20:N21)</f>
        <v>105000</v>
      </c>
      <c r="O19" s="280"/>
      <c r="P19" s="280"/>
      <c r="Q19" s="280"/>
      <c r="R19" s="280"/>
      <c r="S19" s="280"/>
      <c r="T19" s="280"/>
      <c r="U19" s="280"/>
      <c r="V19" s="275">
        <f>SUM(V20:V21)</f>
        <v>105000</v>
      </c>
      <c r="W19" s="275">
        <f>SUM(W20:W21)</f>
        <v>105000</v>
      </c>
      <c r="X19" s="273"/>
    </row>
    <row r="20" spans="1:24" ht="73.5" customHeight="1">
      <c r="A20" s="18">
        <v>1</v>
      </c>
      <c r="B20" s="193" t="s">
        <v>63</v>
      </c>
      <c r="C20" s="18" t="s">
        <v>164</v>
      </c>
      <c r="D20" s="49" t="s">
        <v>618</v>
      </c>
      <c r="E20" s="240"/>
      <c r="F20" s="137">
        <v>75000</v>
      </c>
      <c r="G20" s="137">
        <v>75000</v>
      </c>
      <c r="H20" s="18" t="s">
        <v>166</v>
      </c>
      <c r="I20" s="18" t="s">
        <v>619</v>
      </c>
      <c r="J20" s="18">
        <v>2026</v>
      </c>
      <c r="K20" s="18">
        <v>2030</v>
      </c>
      <c r="L20" s="281"/>
      <c r="M20" s="137">
        <f>N20</f>
        <v>75000</v>
      </c>
      <c r="N20" s="137">
        <f>G20</f>
        <v>75000</v>
      </c>
      <c r="O20" s="436" t="s">
        <v>620</v>
      </c>
      <c r="P20" s="282"/>
      <c r="Q20" s="282"/>
      <c r="R20" s="282"/>
      <c r="S20" s="282"/>
      <c r="T20" s="282"/>
      <c r="U20" s="282"/>
      <c r="V20" s="282">
        <f>W20</f>
        <v>75000</v>
      </c>
      <c r="W20" s="282">
        <f>N20</f>
        <v>75000</v>
      </c>
      <c r="X20" s="18"/>
    </row>
    <row r="21" spans="1:24" ht="70.5" customHeight="1">
      <c r="A21" s="18">
        <v>2</v>
      </c>
      <c r="B21" s="193"/>
      <c r="C21" s="18" t="s">
        <v>164</v>
      </c>
      <c r="D21" s="49" t="s">
        <v>621</v>
      </c>
      <c r="E21" s="240"/>
      <c r="F21" s="137">
        <v>30000</v>
      </c>
      <c r="G21" s="137">
        <v>30000</v>
      </c>
      <c r="H21" s="18" t="s">
        <v>166</v>
      </c>
      <c r="I21" s="18" t="s">
        <v>622</v>
      </c>
      <c r="J21" s="18">
        <v>2028</v>
      </c>
      <c r="K21" s="18">
        <v>2029</v>
      </c>
      <c r="L21" s="281" t="s">
        <v>180</v>
      </c>
      <c r="M21" s="137">
        <f t="shared" si="0"/>
        <v>30000</v>
      </c>
      <c r="N21" s="137">
        <f t="shared" si="1"/>
        <v>30000</v>
      </c>
      <c r="O21" s="282">
        <v>2028</v>
      </c>
      <c r="P21" s="282"/>
      <c r="Q21" s="282"/>
      <c r="R21" s="282"/>
      <c r="S21" s="282"/>
      <c r="T21" s="282"/>
      <c r="U21" s="282"/>
      <c r="V21" s="282">
        <f t="shared" si="2"/>
        <v>30000</v>
      </c>
      <c r="W21" s="282">
        <f t="shared" si="3"/>
        <v>30000</v>
      </c>
      <c r="X21" s="18" t="s">
        <v>623</v>
      </c>
    </row>
    <row r="22" spans="1:24" s="26" customFormat="1" ht="44.25" hidden="1" customHeight="1">
      <c r="A22" s="273" t="s">
        <v>492</v>
      </c>
      <c r="B22" s="579" t="s">
        <v>624</v>
      </c>
      <c r="C22" s="580"/>
      <c r="D22" s="581"/>
      <c r="E22" s="274"/>
      <c r="F22" s="275">
        <v>0</v>
      </c>
      <c r="G22" s="275">
        <v>0</v>
      </c>
      <c r="H22" s="273"/>
      <c r="I22" s="273"/>
      <c r="J22" s="273"/>
      <c r="K22" s="273"/>
      <c r="L22" s="279"/>
      <c r="M22" s="275">
        <v>0</v>
      </c>
      <c r="N22" s="284">
        <f t="shared" si="1"/>
        <v>0</v>
      </c>
      <c r="O22" s="280"/>
      <c r="P22" s="280"/>
      <c r="Q22" s="280"/>
      <c r="R22" s="280"/>
      <c r="S22" s="280"/>
      <c r="T22" s="280"/>
      <c r="U22" s="280"/>
      <c r="V22" s="275">
        <v>0</v>
      </c>
      <c r="W22" s="275">
        <v>0</v>
      </c>
      <c r="X22" s="273"/>
    </row>
    <row r="23" spans="1:24" hidden="1">
      <c r="A23" s="18"/>
      <c r="B23" s="193"/>
      <c r="C23" s="18"/>
      <c r="D23" s="49"/>
      <c r="E23" s="240"/>
      <c r="F23" s="137"/>
      <c r="G23" s="137"/>
      <c r="H23" s="18"/>
      <c r="I23" s="18"/>
      <c r="J23" s="18"/>
      <c r="K23" s="18"/>
      <c r="L23" s="281"/>
      <c r="M23" s="137"/>
      <c r="N23" s="137">
        <f t="shared" si="1"/>
        <v>0</v>
      </c>
      <c r="O23" s="282"/>
      <c r="P23" s="282"/>
      <c r="Q23" s="282"/>
      <c r="R23" s="282"/>
      <c r="S23" s="282"/>
      <c r="T23" s="282"/>
      <c r="U23" s="282"/>
      <c r="V23" s="282"/>
      <c r="W23" s="282"/>
      <c r="X23" s="18"/>
    </row>
    <row r="24" spans="1:24" ht="78" customHeight="1">
      <c r="A24" s="36" t="s">
        <v>84</v>
      </c>
      <c r="B24" s="276"/>
      <c r="C24" s="276"/>
      <c r="D24" s="277" t="s">
        <v>181</v>
      </c>
      <c r="E24" s="278"/>
      <c r="F24" s="272">
        <v>5000</v>
      </c>
      <c r="G24" s="272">
        <v>5000</v>
      </c>
      <c r="H24" s="37"/>
      <c r="I24" s="36"/>
      <c r="J24" s="36"/>
      <c r="K24" s="36"/>
      <c r="L24" s="271"/>
      <c r="M24" s="272">
        <f>N24</f>
        <v>5000</v>
      </c>
      <c r="N24" s="272">
        <f t="shared" si="1"/>
        <v>5000</v>
      </c>
      <c r="O24" s="285"/>
      <c r="P24" s="36"/>
      <c r="Q24" s="36"/>
      <c r="R24" s="36"/>
      <c r="S24" s="285"/>
      <c r="T24" s="285"/>
      <c r="U24" s="36"/>
      <c r="V24" s="272">
        <f>W24</f>
        <v>5000</v>
      </c>
      <c r="W24" s="272">
        <f>G24</f>
        <v>5000</v>
      </c>
      <c r="X24" s="36"/>
    </row>
    <row r="27" spans="1:24">
      <c r="W27" s="286"/>
    </row>
  </sheetData>
  <mergeCells count="34">
    <mergeCell ref="W5:W7"/>
    <mergeCell ref="X4:X7"/>
    <mergeCell ref="B12:D12"/>
    <mergeCell ref="B19:D19"/>
    <mergeCell ref="B22:D22"/>
    <mergeCell ref="H5:N5"/>
    <mergeCell ref="J6:K6"/>
    <mergeCell ref="M6:N6"/>
    <mergeCell ref="H6:H7"/>
    <mergeCell ref="I6:I7"/>
    <mergeCell ref="L6:L7"/>
    <mergeCell ref="A4:A7"/>
    <mergeCell ref="B4:B7"/>
    <mergeCell ref="C4:C7"/>
    <mergeCell ref="D4:D7"/>
    <mergeCell ref="E5:G5"/>
    <mergeCell ref="F6:G6"/>
    <mergeCell ref="E6:E7"/>
    <mergeCell ref="A1:X1"/>
    <mergeCell ref="A2:X2"/>
    <mergeCell ref="A3:X3"/>
    <mergeCell ref="E4:N4"/>
    <mergeCell ref="P4:Q4"/>
    <mergeCell ref="R4:S4"/>
    <mergeCell ref="T4:U4"/>
    <mergeCell ref="V4:W4"/>
    <mergeCell ref="O4:O7"/>
    <mergeCell ref="P5:P7"/>
    <mergeCell ref="Q5:Q7"/>
    <mergeCell ref="R5:R7"/>
    <mergeCell ref="S5:S7"/>
    <mergeCell ref="T5:T7"/>
    <mergeCell ref="U5:U7"/>
    <mergeCell ref="V5:V7"/>
  </mergeCells>
  <pageMargins left="0.31" right="0.22" top="0.48" bottom="0.52" header="0.3" footer="0.3"/>
  <pageSetup paperSize="9" scale="44"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W41"/>
  <sheetViews>
    <sheetView topLeftCell="A4" zoomScale="70" zoomScaleNormal="70" workbookViewId="0">
      <selection activeCell="M4" sqref="M1:S1048576"/>
    </sheetView>
  </sheetViews>
  <sheetFormatPr defaultColWidth="11.7265625" defaultRowHeight="15.5"/>
  <cols>
    <col min="1" max="1" width="7.26953125" style="3" customWidth="1"/>
    <col min="2" max="2" width="11.7265625" style="8"/>
    <col min="3" max="3" width="9" style="8" customWidth="1"/>
    <col min="4" max="4" width="35.54296875" style="8" customWidth="1"/>
    <col min="5" max="7" width="11.7265625" style="8"/>
    <col min="8" max="11" width="11.7265625" style="3"/>
    <col min="12" max="12" width="11.7265625" style="8"/>
    <col min="13" max="13" width="11.7265625" style="206"/>
    <col min="14" max="18" width="11.7265625" style="3" hidden="1" customWidth="1"/>
    <col min="19" max="19" width="11.7265625" style="3"/>
    <col min="20" max="20" width="11.7265625" style="8"/>
    <col min="21" max="21" width="14.54296875" style="8" customWidth="1"/>
    <col min="22" max="22" width="11.7265625" style="8"/>
    <col min="23" max="23" width="20.81640625" style="8" customWidth="1"/>
    <col min="24" max="16384" width="11.7265625" style="8"/>
  </cols>
  <sheetData>
    <row r="1" spans="1:22" ht="24" customHeight="1">
      <c r="A1" s="512" t="s">
        <v>625</v>
      </c>
      <c r="B1" s="513"/>
      <c r="C1" s="513"/>
      <c r="D1" s="513"/>
      <c r="E1" s="513"/>
      <c r="F1" s="513"/>
      <c r="G1" s="513"/>
      <c r="H1" s="513"/>
      <c r="I1" s="513"/>
      <c r="J1" s="513"/>
      <c r="K1" s="513"/>
      <c r="L1" s="513"/>
      <c r="M1" s="513"/>
      <c r="N1" s="514"/>
      <c r="O1" s="514"/>
      <c r="P1" s="514"/>
      <c r="Q1" s="514"/>
      <c r="R1" s="514"/>
      <c r="S1" s="514"/>
    </row>
    <row r="2" spans="1:22" ht="41.25" customHeight="1">
      <c r="A2" s="512" t="s">
        <v>626</v>
      </c>
      <c r="B2" s="513"/>
      <c r="C2" s="513"/>
      <c r="D2" s="513"/>
      <c r="E2" s="513"/>
      <c r="F2" s="513"/>
      <c r="G2" s="513"/>
      <c r="H2" s="513"/>
      <c r="I2" s="513"/>
      <c r="J2" s="513"/>
      <c r="K2" s="513"/>
      <c r="L2" s="513"/>
      <c r="M2" s="513"/>
      <c r="N2" s="514"/>
      <c r="O2" s="514"/>
      <c r="P2" s="514"/>
      <c r="Q2" s="514"/>
      <c r="R2" s="514"/>
      <c r="S2" s="514"/>
    </row>
    <row r="3" spans="1:22" ht="33" customHeight="1">
      <c r="A3" s="582" t="s">
        <v>2</v>
      </c>
      <c r="B3" s="583"/>
      <c r="C3" s="583"/>
      <c r="D3" s="583"/>
      <c r="E3" s="583"/>
      <c r="F3" s="583"/>
      <c r="G3" s="583"/>
      <c r="H3" s="583"/>
      <c r="I3" s="583"/>
      <c r="J3" s="583"/>
      <c r="K3" s="583"/>
      <c r="L3" s="583"/>
      <c r="M3" s="583"/>
      <c r="N3" s="514"/>
      <c r="O3" s="514"/>
      <c r="P3" s="514"/>
      <c r="Q3" s="514"/>
      <c r="R3" s="514"/>
      <c r="S3" s="514"/>
    </row>
    <row r="4" spans="1:22" s="4" customFormat="1" ht="51" customHeight="1">
      <c r="A4" s="586" t="s">
        <v>3</v>
      </c>
      <c r="B4" s="586" t="s">
        <v>627</v>
      </c>
      <c r="C4" s="586" t="s">
        <v>5</v>
      </c>
      <c r="D4" s="584" t="s">
        <v>7</v>
      </c>
      <c r="E4" s="584" t="s">
        <v>22</v>
      </c>
      <c r="F4" s="587" t="s">
        <v>23</v>
      </c>
      <c r="G4" s="584" t="s">
        <v>24</v>
      </c>
      <c r="H4" s="584" t="s">
        <v>25</v>
      </c>
      <c r="I4" s="584" t="s">
        <v>628</v>
      </c>
      <c r="J4" s="584"/>
      <c r="K4" s="584" t="s">
        <v>629</v>
      </c>
      <c r="L4" s="584" t="s">
        <v>9</v>
      </c>
      <c r="M4" s="584" t="s">
        <v>157</v>
      </c>
      <c r="N4" s="584" t="s">
        <v>19</v>
      </c>
      <c r="O4" s="584"/>
      <c r="P4" s="584"/>
      <c r="Q4" s="584"/>
      <c r="R4" s="584"/>
      <c r="S4" s="584" t="s">
        <v>14</v>
      </c>
    </row>
    <row r="5" spans="1:22" s="4" customFormat="1" ht="30" customHeight="1">
      <c r="A5" s="586"/>
      <c r="B5" s="586"/>
      <c r="C5" s="586"/>
      <c r="D5" s="584"/>
      <c r="E5" s="584"/>
      <c r="F5" s="587"/>
      <c r="G5" s="584"/>
      <c r="H5" s="584"/>
      <c r="I5" s="584"/>
      <c r="J5" s="584"/>
      <c r="K5" s="584"/>
      <c r="L5" s="584"/>
      <c r="M5" s="584"/>
      <c r="N5" s="439" t="s">
        <v>169</v>
      </c>
      <c r="O5" s="439" t="s">
        <v>611</v>
      </c>
      <c r="P5" s="439" t="s">
        <v>630</v>
      </c>
      <c r="Q5" s="439" t="s">
        <v>631</v>
      </c>
      <c r="R5" s="439" t="s">
        <v>632</v>
      </c>
      <c r="S5" s="584"/>
    </row>
    <row r="6" spans="1:22">
      <c r="A6" s="207">
        <v>1</v>
      </c>
      <c r="B6" s="207">
        <v>2</v>
      </c>
      <c r="C6" s="207">
        <v>3</v>
      </c>
      <c r="D6" s="207">
        <v>4</v>
      </c>
      <c r="E6" s="207">
        <v>5</v>
      </c>
      <c r="F6" s="207">
        <v>6</v>
      </c>
      <c r="G6" s="207">
        <v>7</v>
      </c>
      <c r="H6" s="207">
        <v>8</v>
      </c>
      <c r="I6" s="207">
        <v>9</v>
      </c>
      <c r="J6" s="207">
        <v>10</v>
      </c>
      <c r="K6" s="207">
        <v>11</v>
      </c>
      <c r="L6" s="207">
        <v>12</v>
      </c>
      <c r="M6" s="244">
        <v>13</v>
      </c>
      <c r="N6" s="207">
        <v>14</v>
      </c>
      <c r="O6" s="207">
        <v>15</v>
      </c>
      <c r="P6" s="207">
        <v>16</v>
      </c>
      <c r="Q6" s="207">
        <v>17</v>
      </c>
      <c r="R6" s="207">
        <v>18</v>
      </c>
      <c r="S6" s="207">
        <v>14</v>
      </c>
    </row>
    <row r="7" spans="1:22" s="81" customFormat="1" ht="33.75" customHeight="1">
      <c r="A7" s="208"/>
      <c r="B7" s="209"/>
      <c r="C7" s="209"/>
      <c r="D7" s="208" t="s">
        <v>633</v>
      </c>
      <c r="E7" s="210"/>
      <c r="F7" s="211">
        <f>F8+F12+F18+F36</f>
        <v>1727800</v>
      </c>
      <c r="G7" s="211"/>
      <c r="H7" s="211"/>
      <c r="I7" s="211"/>
      <c r="J7" s="211"/>
      <c r="K7" s="245"/>
      <c r="L7" s="211"/>
      <c r="M7" s="246">
        <f t="shared" ref="M7:R7" si="0">M8+M12+M18+M36</f>
        <v>1727800</v>
      </c>
      <c r="N7" s="211" t="e">
        <f t="shared" si="0"/>
        <v>#REF!</v>
      </c>
      <c r="O7" s="211" t="e">
        <f t="shared" si="0"/>
        <v>#REF!</v>
      </c>
      <c r="P7" s="211">
        <f t="shared" si="0"/>
        <v>515000</v>
      </c>
      <c r="Q7" s="211">
        <f t="shared" si="0"/>
        <v>240000</v>
      </c>
      <c r="R7" s="211">
        <f t="shared" si="0"/>
        <v>0</v>
      </c>
      <c r="S7" s="208"/>
      <c r="U7" s="174"/>
    </row>
    <row r="8" spans="1:22" ht="33" customHeight="1">
      <c r="A8" s="212" t="s">
        <v>61</v>
      </c>
      <c r="B8" s="585" t="s">
        <v>634</v>
      </c>
      <c r="C8" s="585"/>
      <c r="D8" s="585"/>
      <c r="E8" s="213"/>
      <c r="F8" s="214">
        <f>SUM(F9:F11)</f>
        <v>550000</v>
      </c>
      <c r="G8" s="215"/>
      <c r="H8" s="216"/>
      <c r="I8" s="216"/>
      <c r="J8" s="216"/>
      <c r="K8" s="247"/>
      <c r="L8" s="215"/>
      <c r="M8" s="248">
        <f t="shared" ref="M8:R8" si="1">SUM(M9:M11)</f>
        <v>550000</v>
      </c>
      <c r="N8" s="214">
        <f t="shared" si="1"/>
        <v>95000</v>
      </c>
      <c r="O8" s="214">
        <f t="shared" si="1"/>
        <v>185000</v>
      </c>
      <c r="P8" s="214">
        <f t="shared" si="1"/>
        <v>230000</v>
      </c>
      <c r="Q8" s="214">
        <f t="shared" si="1"/>
        <v>40000</v>
      </c>
      <c r="R8" s="214">
        <f t="shared" si="1"/>
        <v>0</v>
      </c>
      <c r="S8" s="216"/>
    </row>
    <row r="9" spans="1:22" ht="81" customHeight="1">
      <c r="A9" s="217">
        <v>1</v>
      </c>
      <c r="B9" s="218" t="s">
        <v>63</v>
      </c>
      <c r="C9" s="217" t="s">
        <v>164</v>
      </c>
      <c r="D9" s="49" t="s">
        <v>165</v>
      </c>
      <c r="E9" s="219"/>
      <c r="F9" s="220">
        <v>330000</v>
      </c>
      <c r="G9" s="217" t="s">
        <v>166</v>
      </c>
      <c r="H9" s="217" t="s">
        <v>167</v>
      </c>
      <c r="I9" s="217">
        <v>2026</v>
      </c>
      <c r="J9" s="217">
        <v>2029</v>
      </c>
      <c r="K9" s="249" t="s">
        <v>168</v>
      </c>
      <c r="L9" s="440" t="s">
        <v>169</v>
      </c>
      <c r="M9" s="251">
        <f>SUM(N9:R9)</f>
        <v>330000</v>
      </c>
      <c r="N9" s="250">
        <v>50000</v>
      </c>
      <c r="O9" s="250">
        <v>100000</v>
      </c>
      <c r="P9" s="250">
        <v>150000</v>
      </c>
      <c r="Q9" s="250">
        <v>30000</v>
      </c>
      <c r="R9" s="250"/>
      <c r="S9" s="217"/>
      <c r="V9" s="264"/>
    </row>
    <row r="10" spans="1:22" ht="79.5" customHeight="1">
      <c r="A10" s="217">
        <v>2</v>
      </c>
      <c r="B10" s="217" t="s">
        <v>63</v>
      </c>
      <c r="C10" s="217" t="s">
        <v>164</v>
      </c>
      <c r="D10" s="49" t="s">
        <v>171</v>
      </c>
      <c r="E10" s="219"/>
      <c r="F10" s="221">
        <v>195000</v>
      </c>
      <c r="G10" s="217" t="s">
        <v>166</v>
      </c>
      <c r="H10" s="217" t="s">
        <v>172</v>
      </c>
      <c r="I10" s="217">
        <v>2026</v>
      </c>
      <c r="J10" s="217">
        <v>2029</v>
      </c>
      <c r="K10" s="249" t="s">
        <v>168</v>
      </c>
      <c r="L10" s="217">
        <v>2026</v>
      </c>
      <c r="M10" s="251">
        <f t="shared" ref="M10:M17" si="2">SUM(N10:R10)</f>
        <v>195000</v>
      </c>
      <c r="N10" s="250">
        <v>30000</v>
      </c>
      <c r="O10" s="250">
        <v>75000</v>
      </c>
      <c r="P10" s="250">
        <v>80000</v>
      </c>
      <c r="Q10" s="250">
        <v>10000</v>
      </c>
      <c r="R10" s="250"/>
      <c r="S10" s="217"/>
    </row>
    <row r="11" spans="1:22" ht="79.5" customHeight="1">
      <c r="A11" s="217">
        <v>3</v>
      </c>
      <c r="B11" s="217" t="s">
        <v>174</v>
      </c>
      <c r="C11" s="217" t="s">
        <v>164</v>
      </c>
      <c r="D11" s="49" t="s">
        <v>175</v>
      </c>
      <c r="E11" s="219"/>
      <c r="F11" s="221">
        <v>25000</v>
      </c>
      <c r="G11" s="217" t="s">
        <v>176</v>
      </c>
      <c r="H11" s="217" t="s">
        <v>177</v>
      </c>
      <c r="I11" s="217">
        <v>2026</v>
      </c>
      <c r="J11" s="217">
        <v>2027</v>
      </c>
      <c r="K11" s="249" t="s">
        <v>168</v>
      </c>
      <c r="L11" s="217">
        <v>2026</v>
      </c>
      <c r="M11" s="251">
        <f t="shared" si="2"/>
        <v>25000</v>
      </c>
      <c r="N11" s="250">
        <v>15000</v>
      </c>
      <c r="O11" s="250">
        <v>10000</v>
      </c>
      <c r="P11" s="250"/>
      <c r="Q11" s="250"/>
      <c r="R11" s="250"/>
      <c r="S11" s="217"/>
    </row>
    <row r="12" spans="1:22" s="81" customFormat="1" ht="35.25" customHeight="1">
      <c r="A12" s="212" t="s">
        <v>75</v>
      </c>
      <c r="B12" s="585" t="s">
        <v>635</v>
      </c>
      <c r="C12" s="585"/>
      <c r="D12" s="585"/>
      <c r="E12" s="222"/>
      <c r="F12" s="214">
        <f>SUM(F13:F17)</f>
        <v>1008000</v>
      </c>
      <c r="G12" s="223"/>
      <c r="H12" s="212"/>
      <c r="I12" s="212"/>
      <c r="J12" s="212"/>
      <c r="K12" s="252"/>
      <c r="L12" s="223"/>
      <c r="M12" s="248">
        <f t="shared" ref="M12:R12" si="3">SUM(M13:M17)</f>
        <v>1008000</v>
      </c>
      <c r="N12" s="214">
        <f t="shared" si="3"/>
        <v>150000</v>
      </c>
      <c r="O12" s="214">
        <f t="shared" si="3"/>
        <v>292028</v>
      </c>
      <c r="P12" s="214">
        <f t="shared" si="3"/>
        <v>285000</v>
      </c>
      <c r="Q12" s="214">
        <f t="shared" si="3"/>
        <v>200000</v>
      </c>
      <c r="R12" s="214">
        <f t="shared" si="3"/>
        <v>0</v>
      </c>
      <c r="S12" s="212"/>
    </row>
    <row r="13" spans="1:22" ht="85.5" customHeight="1">
      <c r="A13" s="217">
        <v>1</v>
      </c>
      <c r="B13" s="218" t="s">
        <v>63</v>
      </c>
      <c r="C13" s="217" t="s">
        <v>164</v>
      </c>
      <c r="D13" s="49" t="s">
        <v>233</v>
      </c>
      <c r="E13" s="219"/>
      <c r="F13" s="220">
        <v>400000</v>
      </c>
      <c r="G13" s="217" t="s">
        <v>166</v>
      </c>
      <c r="H13" s="217" t="s">
        <v>234</v>
      </c>
      <c r="I13" s="217">
        <v>2026</v>
      </c>
      <c r="J13" s="217">
        <v>2029</v>
      </c>
      <c r="K13" s="249" t="s">
        <v>168</v>
      </c>
      <c r="L13" s="217">
        <v>2026</v>
      </c>
      <c r="M13" s="251">
        <f t="shared" si="2"/>
        <v>400000</v>
      </c>
      <c r="N13" s="250">
        <v>50000</v>
      </c>
      <c r="O13" s="250">
        <v>100000</v>
      </c>
      <c r="P13" s="250">
        <v>150000</v>
      </c>
      <c r="Q13" s="250">
        <v>100000</v>
      </c>
      <c r="R13" s="250"/>
      <c r="S13" s="217"/>
    </row>
    <row r="14" spans="1:22" ht="79.5" customHeight="1">
      <c r="A14" s="217">
        <v>2</v>
      </c>
      <c r="B14" s="217" t="s">
        <v>63</v>
      </c>
      <c r="C14" s="217" t="s">
        <v>164</v>
      </c>
      <c r="D14" s="49" t="s">
        <v>236</v>
      </c>
      <c r="E14" s="219"/>
      <c r="F14" s="135">
        <v>100000</v>
      </c>
      <c r="G14" s="217" t="s">
        <v>166</v>
      </c>
      <c r="H14" s="217" t="s">
        <v>237</v>
      </c>
      <c r="I14" s="217">
        <v>2026</v>
      </c>
      <c r="J14" s="217">
        <v>2029</v>
      </c>
      <c r="K14" s="249" t="s">
        <v>168</v>
      </c>
      <c r="L14" s="217">
        <v>2026</v>
      </c>
      <c r="M14" s="251">
        <f t="shared" si="2"/>
        <v>100000</v>
      </c>
      <c r="N14" s="250">
        <v>30000</v>
      </c>
      <c r="O14" s="250">
        <v>50000</v>
      </c>
      <c r="P14" s="250">
        <v>20000</v>
      </c>
      <c r="Q14" s="250"/>
      <c r="R14" s="250"/>
      <c r="S14" s="217"/>
    </row>
    <row r="15" spans="1:22" ht="79.5" customHeight="1">
      <c r="A15" s="217">
        <v>3</v>
      </c>
      <c r="B15" s="217" t="s">
        <v>63</v>
      </c>
      <c r="C15" s="217" t="s">
        <v>164</v>
      </c>
      <c r="D15" s="49" t="s">
        <v>238</v>
      </c>
      <c r="E15" s="219"/>
      <c r="F15" s="220">
        <v>350000</v>
      </c>
      <c r="G15" s="217" t="s">
        <v>166</v>
      </c>
      <c r="H15" s="217" t="s">
        <v>239</v>
      </c>
      <c r="I15" s="217">
        <v>2026</v>
      </c>
      <c r="J15" s="217">
        <v>2029</v>
      </c>
      <c r="K15" s="249" t="s">
        <v>168</v>
      </c>
      <c r="L15" s="217">
        <v>2026</v>
      </c>
      <c r="M15" s="251">
        <f t="shared" si="2"/>
        <v>350000</v>
      </c>
      <c r="N15" s="250">
        <v>50000</v>
      </c>
      <c r="O15" s="250">
        <v>100000</v>
      </c>
      <c r="P15" s="250">
        <v>100000</v>
      </c>
      <c r="Q15" s="250">
        <v>100000</v>
      </c>
      <c r="R15" s="250"/>
      <c r="S15" s="217"/>
    </row>
    <row r="16" spans="1:22" ht="79.5" customHeight="1">
      <c r="A16" s="217">
        <v>5</v>
      </c>
      <c r="B16" s="217" t="s">
        <v>63</v>
      </c>
      <c r="C16" s="217" t="s">
        <v>164</v>
      </c>
      <c r="D16" s="49" t="s">
        <v>242</v>
      </c>
      <c r="E16" s="219"/>
      <c r="F16" s="135">
        <v>83000</v>
      </c>
      <c r="G16" s="217" t="s">
        <v>166</v>
      </c>
      <c r="H16" s="217" t="s">
        <v>243</v>
      </c>
      <c r="I16" s="217">
        <v>2026</v>
      </c>
      <c r="J16" s="217">
        <v>2028</v>
      </c>
      <c r="K16" s="249" t="s">
        <v>168</v>
      </c>
      <c r="L16" s="217">
        <v>2026</v>
      </c>
      <c r="M16" s="220">
        <v>83000</v>
      </c>
      <c r="N16" s="220" t="str">
        <f t="shared" ref="N16" si="4">G16</f>
        <v>xã Tân Lợi</v>
      </c>
      <c r="O16" s="217">
        <v>2028</v>
      </c>
      <c r="P16" s="250"/>
      <c r="Q16" s="250"/>
      <c r="R16" s="250"/>
      <c r="S16" s="250"/>
    </row>
    <row r="17" spans="1:23" ht="79.5" customHeight="1">
      <c r="A17" s="217">
        <v>5</v>
      </c>
      <c r="B17" s="217" t="s">
        <v>63</v>
      </c>
      <c r="C17" s="217" t="s">
        <v>164</v>
      </c>
      <c r="D17" s="49" t="s">
        <v>240</v>
      </c>
      <c r="E17" s="219"/>
      <c r="F17" s="135">
        <v>75000</v>
      </c>
      <c r="G17" s="217" t="s">
        <v>166</v>
      </c>
      <c r="H17" s="217" t="s">
        <v>241</v>
      </c>
      <c r="I17" s="217">
        <v>2026</v>
      </c>
      <c r="J17" s="217">
        <v>2028</v>
      </c>
      <c r="K17" s="249" t="s">
        <v>168</v>
      </c>
      <c r="L17" s="217">
        <v>2026</v>
      </c>
      <c r="M17" s="251">
        <f t="shared" si="2"/>
        <v>75000</v>
      </c>
      <c r="N17" s="250">
        <v>20000</v>
      </c>
      <c r="O17" s="250">
        <v>40000</v>
      </c>
      <c r="P17" s="250">
        <v>15000</v>
      </c>
      <c r="Q17" s="250"/>
      <c r="R17" s="250"/>
      <c r="S17" s="217"/>
    </row>
    <row r="18" spans="1:23" s="81" customFormat="1" ht="33.75" customHeight="1">
      <c r="A18" s="212" t="s">
        <v>84</v>
      </c>
      <c r="B18" s="585" t="s">
        <v>636</v>
      </c>
      <c r="C18" s="585"/>
      <c r="D18" s="585"/>
      <c r="E18" s="222"/>
      <c r="F18" s="224">
        <f>F19+F23+F26+F31+F34</f>
        <v>130800</v>
      </c>
      <c r="G18" s="223"/>
      <c r="H18" s="212"/>
      <c r="I18" s="212"/>
      <c r="J18" s="212"/>
      <c r="K18" s="252"/>
      <c r="L18" s="223"/>
      <c r="M18" s="224">
        <f>M19+M23+M26+M31+M34</f>
        <v>130800</v>
      </c>
      <c r="N18" s="224" t="e">
        <f>N19+N23+N26+N31+N34+#REF!</f>
        <v>#REF!</v>
      </c>
      <c r="O18" s="224" t="e">
        <f>O19+O23+O26+O31+O34+#REF!</f>
        <v>#REF!</v>
      </c>
      <c r="P18" s="224"/>
      <c r="Q18" s="224"/>
      <c r="R18" s="224"/>
      <c r="S18" s="212"/>
      <c r="T18" s="224"/>
      <c r="U18" s="174"/>
    </row>
    <row r="19" spans="1:23" s="81" customFormat="1" ht="30" customHeight="1">
      <c r="A19" s="225">
        <v>1</v>
      </c>
      <c r="B19" s="589" t="s">
        <v>461</v>
      </c>
      <c r="C19" s="589"/>
      <c r="D19" s="589"/>
      <c r="E19" s="226"/>
      <c r="F19" s="227">
        <f>SUM(F20:F22)</f>
        <v>61000</v>
      </c>
      <c r="G19" s="228"/>
      <c r="H19" s="225"/>
      <c r="I19" s="225"/>
      <c r="J19" s="225"/>
      <c r="K19" s="253"/>
      <c r="L19" s="228"/>
      <c r="M19" s="254">
        <f>SUM(M20:M22)</f>
        <v>61000</v>
      </c>
      <c r="N19" s="227">
        <f>SUM(N20:N22)</f>
        <v>51000</v>
      </c>
      <c r="O19" s="227">
        <f>SUM(O20:O22)</f>
        <v>10000</v>
      </c>
      <c r="P19" s="227">
        <f t="shared" ref="P19:R19" si="5">SUM(P20:P22)</f>
        <v>0</v>
      </c>
      <c r="Q19" s="227">
        <f t="shared" si="5"/>
        <v>0</v>
      </c>
      <c r="R19" s="227">
        <f t="shared" si="5"/>
        <v>0</v>
      </c>
      <c r="S19" s="227"/>
      <c r="U19" s="174"/>
    </row>
    <row r="20" spans="1:23" ht="66" customHeight="1">
      <c r="A20" s="217" t="s">
        <v>531</v>
      </c>
      <c r="B20" s="217" t="s">
        <v>63</v>
      </c>
      <c r="C20" s="217" t="s">
        <v>164</v>
      </c>
      <c r="D20" s="229" t="s">
        <v>462</v>
      </c>
      <c r="E20" s="219"/>
      <c r="F20" s="135">
        <v>23000</v>
      </c>
      <c r="G20" s="217" t="s">
        <v>166</v>
      </c>
      <c r="H20" s="217" t="s">
        <v>463</v>
      </c>
      <c r="I20" s="217">
        <v>2026</v>
      </c>
      <c r="J20" s="217">
        <v>2027</v>
      </c>
      <c r="K20" s="249" t="s">
        <v>168</v>
      </c>
      <c r="L20" s="217">
        <v>2026</v>
      </c>
      <c r="M20" s="251">
        <f t="shared" ref="M20:M22" si="6">SUM(N20:R20)</f>
        <v>23000</v>
      </c>
      <c r="N20" s="250">
        <v>18000</v>
      </c>
      <c r="O20" s="250">
        <v>5000</v>
      </c>
      <c r="P20" s="250"/>
      <c r="Q20" s="250"/>
      <c r="R20" s="250"/>
      <c r="S20" s="217"/>
    </row>
    <row r="21" spans="1:23" ht="66" customHeight="1">
      <c r="A21" s="217" t="s">
        <v>535</v>
      </c>
      <c r="B21" s="217" t="s">
        <v>63</v>
      </c>
      <c r="C21" s="217" t="s">
        <v>164</v>
      </c>
      <c r="D21" s="229" t="s">
        <v>464</v>
      </c>
      <c r="E21" s="219"/>
      <c r="F21" s="135">
        <v>17000</v>
      </c>
      <c r="G21" s="217" t="s">
        <v>166</v>
      </c>
      <c r="H21" s="217" t="s">
        <v>465</v>
      </c>
      <c r="I21" s="217">
        <v>2026</v>
      </c>
      <c r="J21" s="217">
        <v>2027</v>
      </c>
      <c r="K21" s="249" t="s">
        <v>168</v>
      </c>
      <c r="L21" s="217">
        <v>2026</v>
      </c>
      <c r="M21" s="251">
        <f t="shared" si="6"/>
        <v>17000</v>
      </c>
      <c r="N21" s="250">
        <v>15000</v>
      </c>
      <c r="O21" s="250">
        <v>2000</v>
      </c>
      <c r="P21" s="250"/>
      <c r="Q21" s="250"/>
      <c r="R21" s="250"/>
      <c r="S21" s="217"/>
    </row>
    <row r="22" spans="1:23" ht="66" customHeight="1">
      <c r="A22" s="217" t="s">
        <v>537</v>
      </c>
      <c r="B22" s="217" t="s">
        <v>63</v>
      </c>
      <c r="C22" s="217" t="s">
        <v>164</v>
      </c>
      <c r="D22" s="229" t="s">
        <v>474</v>
      </c>
      <c r="E22" s="219"/>
      <c r="F22" s="220">
        <v>21000</v>
      </c>
      <c r="G22" s="217" t="s">
        <v>471</v>
      </c>
      <c r="H22" s="217" t="s">
        <v>475</v>
      </c>
      <c r="I22" s="217">
        <v>2026</v>
      </c>
      <c r="J22" s="217">
        <v>2027</v>
      </c>
      <c r="K22" s="249" t="s">
        <v>168</v>
      </c>
      <c r="L22" s="217">
        <v>2026</v>
      </c>
      <c r="M22" s="251">
        <f t="shared" si="6"/>
        <v>21000</v>
      </c>
      <c r="N22" s="250">
        <v>18000</v>
      </c>
      <c r="O22" s="250">
        <v>3000</v>
      </c>
      <c r="P22" s="250"/>
      <c r="Q22" s="250"/>
      <c r="R22" s="250"/>
      <c r="S22" s="217"/>
    </row>
    <row r="23" spans="1:23" ht="31.5" customHeight="1">
      <c r="A23" s="225">
        <v>2</v>
      </c>
      <c r="B23" s="589" t="s">
        <v>487</v>
      </c>
      <c r="C23" s="589"/>
      <c r="D23" s="589"/>
      <c r="E23" s="158"/>
      <c r="F23" s="230">
        <f>SUM(F24:F25)</f>
        <v>8500</v>
      </c>
      <c r="G23" s="231"/>
      <c r="H23" s="231"/>
      <c r="I23" s="231"/>
      <c r="J23" s="231"/>
      <c r="K23" s="255"/>
      <c r="L23" s="256"/>
      <c r="M23" s="257">
        <f>SUM(M24:M25)</f>
        <v>8500</v>
      </c>
      <c r="N23" s="230">
        <f>SUM(N24:N25)</f>
        <v>7000</v>
      </c>
      <c r="O23" s="230">
        <f>SUM(O24:O25)</f>
        <v>1500</v>
      </c>
      <c r="P23" s="230">
        <f t="shared" ref="P23:R23" si="7">SUM(P24:P25)</f>
        <v>0</v>
      </c>
      <c r="Q23" s="230">
        <f t="shared" si="7"/>
        <v>0</v>
      </c>
      <c r="R23" s="230">
        <f t="shared" si="7"/>
        <v>0</v>
      </c>
      <c r="S23" s="231"/>
    </row>
    <row r="24" spans="1:23" ht="67.5" customHeight="1">
      <c r="A24" s="217" t="s">
        <v>637</v>
      </c>
      <c r="B24" s="217" t="s">
        <v>488</v>
      </c>
      <c r="C24" s="232" t="s">
        <v>164</v>
      </c>
      <c r="D24" s="229" t="s">
        <v>638</v>
      </c>
      <c r="E24" s="219"/>
      <c r="F24" s="220">
        <v>3000</v>
      </c>
      <c r="G24" s="217" t="s">
        <v>471</v>
      </c>
      <c r="H24" s="217" t="s">
        <v>469</v>
      </c>
      <c r="I24" s="217">
        <v>2026</v>
      </c>
      <c r="J24" s="217">
        <v>2027</v>
      </c>
      <c r="K24" s="249" t="s">
        <v>168</v>
      </c>
      <c r="L24" s="217">
        <v>2026</v>
      </c>
      <c r="M24" s="251">
        <f t="shared" ref="M24:M35" si="8">SUM(N24:R24)</f>
        <v>3000</v>
      </c>
      <c r="N24" s="250">
        <v>2500</v>
      </c>
      <c r="O24" s="250">
        <v>500</v>
      </c>
      <c r="P24" s="250"/>
      <c r="Q24" s="250"/>
      <c r="R24" s="250"/>
      <c r="S24" s="232"/>
    </row>
    <row r="25" spans="1:23" ht="67.5" customHeight="1">
      <c r="A25" s="217" t="s">
        <v>639</v>
      </c>
      <c r="B25" s="217" t="s">
        <v>488</v>
      </c>
      <c r="C25" s="232" t="s">
        <v>164</v>
      </c>
      <c r="D25" s="229" t="s">
        <v>490</v>
      </c>
      <c r="E25" s="219"/>
      <c r="F25" s="220">
        <v>5500</v>
      </c>
      <c r="G25" s="217" t="s">
        <v>471</v>
      </c>
      <c r="H25" s="217" t="s">
        <v>491</v>
      </c>
      <c r="I25" s="217">
        <v>2026</v>
      </c>
      <c r="J25" s="217">
        <v>2027</v>
      </c>
      <c r="K25" s="249" t="s">
        <v>168</v>
      </c>
      <c r="L25" s="217">
        <v>2026</v>
      </c>
      <c r="M25" s="251">
        <f t="shared" si="8"/>
        <v>5500</v>
      </c>
      <c r="N25" s="250">
        <v>4500</v>
      </c>
      <c r="O25" s="250">
        <v>1000</v>
      </c>
      <c r="P25" s="250"/>
      <c r="Q25" s="250"/>
      <c r="R25" s="250"/>
      <c r="S25" s="232"/>
    </row>
    <row r="26" spans="1:23" ht="33" customHeight="1">
      <c r="A26" s="225">
        <v>3</v>
      </c>
      <c r="B26" s="589" t="s">
        <v>493</v>
      </c>
      <c r="C26" s="589"/>
      <c r="D26" s="589"/>
      <c r="E26" s="158"/>
      <c r="F26" s="230">
        <f>SUM(F27:F30)</f>
        <v>57300</v>
      </c>
      <c r="G26" s="231"/>
      <c r="H26" s="231"/>
      <c r="I26" s="231"/>
      <c r="J26" s="231"/>
      <c r="K26" s="255"/>
      <c r="L26" s="256"/>
      <c r="M26" s="257">
        <f>SUM(M27:M30)</f>
        <v>57300</v>
      </c>
      <c r="N26" s="230">
        <f>SUM(N27:N30)</f>
        <v>20500</v>
      </c>
      <c r="O26" s="230">
        <f>SUM(O27:O30)</f>
        <v>8300</v>
      </c>
      <c r="P26" s="230">
        <f t="shared" ref="P26:R26" si="9">SUM(P27:P30)</f>
        <v>0</v>
      </c>
      <c r="Q26" s="230">
        <f t="shared" si="9"/>
        <v>0</v>
      </c>
      <c r="R26" s="230">
        <f t="shared" si="9"/>
        <v>0</v>
      </c>
      <c r="S26" s="231"/>
      <c r="U26" s="174"/>
      <c r="V26" s="81"/>
      <c r="W26" s="81"/>
    </row>
    <row r="27" spans="1:23" ht="96.75" customHeight="1">
      <c r="A27" s="217" t="s">
        <v>640</v>
      </c>
      <c r="B27" s="217" t="s">
        <v>494</v>
      </c>
      <c r="C27" s="232" t="s">
        <v>164</v>
      </c>
      <c r="D27" s="229" t="s">
        <v>641</v>
      </c>
      <c r="E27" s="219"/>
      <c r="F27" s="220">
        <v>10000</v>
      </c>
      <c r="G27" s="217" t="s">
        <v>471</v>
      </c>
      <c r="H27" s="217"/>
      <c r="I27" s="217">
        <v>2026</v>
      </c>
      <c r="J27" s="217">
        <v>2027</v>
      </c>
      <c r="K27" s="249" t="s">
        <v>168</v>
      </c>
      <c r="L27" s="217">
        <v>2026</v>
      </c>
      <c r="M27" s="251">
        <f t="shared" si="8"/>
        <v>10000</v>
      </c>
      <c r="N27" s="250">
        <v>7000</v>
      </c>
      <c r="O27" s="250">
        <v>3000</v>
      </c>
      <c r="P27" s="250"/>
      <c r="Q27" s="250"/>
      <c r="R27" s="250"/>
      <c r="S27" s="232"/>
    </row>
    <row r="28" spans="1:23" s="80" customFormat="1" ht="129" customHeight="1">
      <c r="A28" s="233" t="s">
        <v>642</v>
      </c>
      <c r="B28" s="233" t="s">
        <v>494</v>
      </c>
      <c r="C28" s="234" t="s">
        <v>164</v>
      </c>
      <c r="D28" s="235" t="s">
        <v>497</v>
      </c>
      <c r="E28" s="236"/>
      <c r="F28" s="237">
        <v>6800</v>
      </c>
      <c r="G28" s="233" t="s">
        <v>471</v>
      </c>
      <c r="H28" s="238" t="s">
        <v>498</v>
      </c>
      <c r="I28" s="233">
        <v>2026</v>
      </c>
      <c r="J28" s="233">
        <v>2026</v>
      </c>
      <c r="K28" s="258" t="s">
        <v>168</v>
      </c>
      <c r="L28" s="233">
        <v>2026</v>
      </c>
      <c r="M28" s="259">
        <v>6800</v>
      </c>
      <c r="N28" s="260">
        <v>3500</v>
      </c>
      <c r="O28" s="260">
        <v>300</v>
      </c>
      <c r="P28" s="260"/>
      <c r="Q28" s="260"/>
      <c r="R28" s="260"/>
      <c r="S28" s="234"/>
    </row>
    <row r="29" spans="1:23" ht="129" customHeight="1">
      <c r="A29" s="217" t="s">
        <v>643</v>
      </c>
      <c r="B29" s="217" t="s">
        <v>494</v>
      </c>
      <c r="C29" s="232" t="s">
        <v>164</v>
      </c>
      <c r="D29" s="229" t="s">
        <v>499</v>
      </c>
      <c r="E29" s="219"/>
      <c r="F29" s="220">
        <v>19000</v>
      </c>
      <c r="G29" s="217" t="s">
        <v>471</v>
      </c>
      <c r="H29" s="204" t="s">
        <v>500</v>
      </c>
      <c r="I29" s="217"/>
      <c r="J29" s="217">
        <v>2026</v>
      </c>
      <c r="K29" s="249" t="s">
        <v>168</v>
      </c>
      <c r="L29" s="249">
        <v>2026</v>
      </c>
      <c r="M29" s="251">
        <v>19000</v>
      </c>
      <c r="N29" s="251">
        <f t="shared" ref="N29" si="10">SUM(O29:S29)</f>
        <v>0</v>
      </c>
      <c r="O29" s="250"/>
      <c r="P29" s="250"/>
      <c r="Q29" s="250"/>
      <c r="R29" s="250"/>
      <c r="S29" s="232"/>
    </row>
    <row r="30" spans="1:23" s="80" customFormat="1" ht="129" customHeight="1">
      <c r="A30" s="233" t="s">
        <v>644</v>
      </c>
      <c r="B30" s="233" t="s">
        <v>494</v>
      </c>
      <c r="C30" s="234" t="s">
        <v>164</v>
      </c>
      <c r="D30" s="239" t="s">
        <v>501</v>
      </c>
      <c r="E30" s="236"/>
      <c r="F30" s="237">
        <v>21500</v>
      </c>
      <c r="G30" s="233" t="s">
        <v>471</v>
      </c>
      <c r="H30" s="238" t="s">
        <v>502</v>
      </c>
      <c r="I30" s="233">
        <v>2026</v>
      </c>
      <c r="J30" s="233">
        <v>2026</v>
      </c>
      <c r="K30" s="258" t="s">
        <v>168</v>
      </c>
      <c r="L30" s="233">
        <v>2026</v>
      </c>
      <c r="M30" s="259">
        <v>21500</v>
      </c>
      <c r="N30" s="260">
        <v>10000</v>
      </c>
      <c r="O30" s="260">
        <v>5000</v>
      </c>
      <c r="P30" s="260"/>
      <c r="Q30" s="260"/>
      <c r="R30" s="260"/>
      <c r="S30" s="234"/>
    </row>
    <row r="31" spans="1:23" ht="35.25" customHeight="1">
      <c r="A31" s="225">
        <v>4</v>
      </c>
      <c r="B31" s="589" t="s">
        <v>511</v>
      </c>
      <c r="C31" s="589"/>
      <c r="D31" s="589"/>
      <c r="E31" s="158"/>
      <c r="F31" s="230">
        <f>SUM(F32:F33)</f>
        <v>1500</v>
      </c>
      <c r="G31" s="231"/>
      <c r="H31" s="231"/>
      <c r="I31" s="231"/>
      <c r="J31" s="231"/>
      <c r="K31" s="255"/>
      <c r="L31" s="231"/>
      <c r="M31" s="257">
        <f>SUM(M32:M33)</f>
        <v>1500</v>
      </c>
      <c r="N31" s="230">
        <f>SUM(N32)</f>
        <v>300</v>
      </c>
      <c r="O31" s="230">
        <f>SUM(O32)</f>
        <v>700</v>
      </c>
      <c r="P31" s="230">
        <f t="shared" ref="P31:R31" si="11">SUM(P32)</f>
        <v>0</v>
      </c>
      <c r="Q31" s="230">
        <f t="shared" si="11"/>
        <v>0</v>
      </c>
      <c r="R31" s="230">
        <f t="shared" si="11"/>
        <v>0</v>
      </c>
      <c r="S31" s="231"/>
    </row>
    <row r="32" spans="1:23" ht="60.75" customHeight="1">
      <c r="A32" s="217" t="s">
        <v>645</v>
      </c>
      <c r="B32" s="217" t="s">
        <v>512</v>
      </c>
      <c r="C32" s="232" t="s">
        <v>164</v>
      </c>
      <c r="D32" s="229" t="s">
        <v>513</v>
      </c>
      <c r="E32" s="219"/>
      <c r="F32" s="220">
        <v>1000</v>
      </c>
      <c r="G32" s="217" t="s">
        <v>471</v>
      </c>
      <c r="H32" s="217"/>
      <c r="I32" s="217">
        <v>2026</v>
      </c>
      <c r="J32" s="217">
        <v>2028</v>
      </c>
      <c r="K32" s="249" t="s">
        <v>168</v>
      </c>
      <c r="L32" s="217">
        <v>2026</v>
      </c>
      <c r="M32" s="251">
        <f t="shared" si="8"/>
        <v>1000</v>
      </c>
      <c r="N32" s="250">
        <v>300</v>
      </c>
      <c r="O32" s="250">
        <v>700</v>
      </c>
      <c r="P32" s="250"/>
      <c r="Q32" s="250"/>
      <c r="R32" s="250"/>
      <c r="S32" s="232"/>
    </row>
    <row r="33" spans="1:20" ht="60.75" customHeight="1">
      <c r="A33" s="217" t="s">
        <v>646</v>
      </c>
      <c r="B33" s="217" t="s">
        <v>512</v>
      </c>
      <c r="C33" s="232" t="s">
        <v>164</v>
      </c>
      <c r="D33" s="15" t="s">
        <v>515</v>
      </c>
      <c r="E33" s="240"/>
      <c r="F33" s="137">
        <v>500</v>
      </c>
      <c r="G33" s="217" t="s">
        <v>471</v>
      </c>
      <c r="H33" s="18" t="s">
        <v>516</v>
      </c>
      <c r="I33" s="217">
        <v>2026</v>
      </c>
      <c r="J33" s="217">
        <v>2028</v>
      </c>
      <c r="K33" s="249" t="s">
        <v>168</v>
      </c>
      <c r="L33" s="217">
        <v>2026</v>
      </c>
      <c r="M33" s="251">
        <v>500</v>
      </c>
      <c r="N33" s="250"/>
      <c r="O33" s="250"/>
      <c r="P33" s="250"/>
      <c r="Q33" s="250"/>
      <c r="R33" s="250"/>
      <c r="S33" s="232"/>
    </row>
    <row r="34" spans="1:20" ht="33" customHeight="1">
      <c r="A34" s="225">
        <v>5</v>
      </c>
      <c r="B34" s="589" t="s">
        <v>520</v>
      </c>
      <c r="C34" s="589"/>
      <c r="D34" s="589"/>
      <c r="E34" s="158"/>
      <c r="F34" s="230">
        <f>F35</f>
        <v>2500</v>
      </c>
      <c r="G34" s="231"/>
      <c r="H34" s="231"/>
      <c r="I34" s="231"/>
      <c r="J34" s="231"/>
      <c r="K34" s="255"/>
      <c r="L34" s="231"/>
      <c r="M34" s="257">
        <f>M35</f>
        <v>2500</v>
      </c>
      <c r="N34" s="230">
        <f>N35</f>
        <v>2000</v>
      </c>
      <c r="O34" s="230">
        <f>O35</f>
        <v>500</v>
      </c>
      <c r="P34" s="230">
        <f t="shared" ref="P34:R34" si="12">P35</f>
        <v>0</v>
      </c>
      <c r="Q34" s="230">
        <f t="shared" si="12"/>
        <v>0</v>
      </c>
      <c r="R34" s="230">
        <f t="shared" si="12"/>
        <v>0</v>
      </c>
      <c r="S34" s="231"/>
    </row>
    <row r="35" spans="1:20" ht="70">
      <c r="A35" s="217" t="s">
        <v>647</v>
      </c>
      <c r="B35" s="217" t="s">
        <v>79</v>
      </c>
      <c r="C35" s="232" t="s">
        <v>164</v>
      </c>
      <c r="D35" s="229" t="s">
        <v>648</v>
      </c>
      <c r="E35" s="219"/>
      <c r="F35" s="220">
        <v>2500</v>
      </c>
      <c r="G35" s="217" t="s">
        <v>471</v>
      </c>
      <c r="H35" s="204" t="s">
        <v>522</v>
      </c>
      <c r="I35" s="217">
        <v>2026</v>
      </c>
      <c r="J35" s="217">
        <v>2026</v>
      </c>
      <c r="K35" s="249" t="s">
        <v>168</v>
      </c>
      <c r="L35" s="217">
        <v>2026</v>
      </c>
      <c r="M35" s="251">
        <f t="shared" si="8"/>
        <v>2500</v>
      </c>
      <c r="N35" s="250">
        <v>2000</v>
      </c>
      <c r="O35" s="250">
        <v>500</v>
      </c>
      <c r="P35" s="250"/>
      <c r="Q35" s="250"/>
      <c r="R35" s="250"/>
      <c r="S35" s="232"/>
    </row>
    <row r="36" spans="1:20" s="81" customFormat="1" ht="42.75" customHeight="1">
      <c r="A36" s="212" t="s">
        <v>126</v>
      </c>
      <c r="B36" s="585" t="s">
        <v>649</v>
      </c>
      <c r="C36" s="585"/>
      <c r="D36" s="585"/>
      <c r="E36" s="222"/>
      <c r="F36" s="214">
        <f>F37+F40</f>
        <v>39000</v>
      </c>
      <c r="G36" s="223"/>
      <c r="H36" s="212"/>
      <c r="I36" s="212"/>
      <c r="J36" s="212"/>
      <c r="K36" s="252"/>
      <c r="L36" s="223"/>
      <c r="M36" s="248">
        <f>M37+M40</f>
        <v>39000</v>
      </c>
      <c r="N36" s="214">
        <f>N37+N40</f>
        <v>39000</v>
      </c>
      <c r="O36" s="214">
        <f>O37+O40</f>
        <v>0</v>
      </c>
      <c r="P36" s="214"/>
      <c r="Q36" s="214"/>
      <c r="R36" s="214"/>
      <c r="S36" s="212"/>
      <c r="T36" s="248"/>
    </row>
    <row r="37" spans="1:20" s="26" customFormat="1" ht="48" customHeight="1">
      <c r="A37" s="241">
        <v>1</v>
      </c>
      <c r="B37" s="588" t="s">
        <v>604</v>
      </c>
      <c r="C37" s="588"/>
      <c r="D37" s="588"/>
      <c r="E37" s="242"/>
      <c r="F37" s="243">
        <f>SUM(F38:F39)</f>
        <v>24000</v>
      </c>
      <c r="G37" s="241"/>
      <c r="H37" s="241"/>
      <c r="I37" s="241"/>
      <c r="J37" s="241"/>
      <c r="K37" s="261"/>
      <c r="L37" s="262"/>
      <c r="M37" s="263">
        <f>SUM(M38:M39)</f>
        <v>24000</v>
      </c>
      <c r="N37" s="243">
        <f>SUM(N38:N39)</f>
        <v>24000</v>
      </c>
      <c r="O37" s="243">
        <f>SUM(O38:O39)</f>
        <v>0</v>
      </c>
      <c r="P37" s="243"/>
      <c r="Q37" s="243"/>
      <c r="R37" s="243"/>
      <c r="S37" s="241"/>
    </row>
    <row r="38" spans="1:20" ht="69.75" customHeight="1">
      <c r="A38" s="217" t="s">
        <v>531</v>
      </c>
      <c r="B38" s="218" t="s">
        <v>63</v>
      </c>
      <c r="C38" s="217" t="s">
        <v>164</v>
      </c>
      <c r="D38" s="49" t="s">
        <v>605</v>
      </c>
      <c r="E38" s="219"/>
      <c r="F38" s="220">
        <v>18000</v>
      </c>
      <c r="G38" s="217" t="s">
        <v>166</v>
      </c>
      <c r="H38" s="217" t="s">
        <v>606</v>
      </c>
      <c r="I38" s="217">
        <v>2026</v>
      </c>
      <c r="J38" s="217">
        <v>2027</v>
      </c>
      <c r="K38" s="249" t="s">
        <v>168</v>
      </c>
      <c r="L38" s="440" t="s">
        <v>169</v>
      </c>
      <c r="M38" s="251">
        <f t="shared" ref="M38:M41" si="13">SUM(N38:R38)</f>
        <v>18000</v>
      </c>
      <c r="N38" s="250">
        <v>18000</v>
      </c>
      <c r="O38" s="250">
        <v>0</v>
      </c>
      <c r="P38" s="250"/>
      <c r="Q38" s="250"/>
      <c r="R38" s="250"/>
      <c r="S38" s="217"/>
    </row>
    <row r="39" spans="1:20" ht="99" customHeight="1">
      <c r="A39" s="217" t="s">
        <v>535</v>
      </c>
      <c r="B39" s="218" t="s">
        <v>63</v>
      </c>
      <c r="C39" s="217" t="s">
        <v>164</v>
      </c>
      <c r="D39" s="49" t="s">
        <v>607</v>
      </c>
      <c r="E39" s="219"/>
      <c r="F39" s="220">
        <v>6000</v>
      </c>
      <c r="G39" s="217" t="s">
        <v>166</v>
      </c>
      <c r="H39" s="217" t="s">
        <v>608</v>
      </c>
      <c r="I39" s="217">
        <v>2026</v>
      </c>
      <c r="J39" s="217">
        <v>2027</v>
      </c>
      <c r="K39" s="249" t="s">
        <v>168</v>
      </c>
      <c r="L39" s="440" t="s">
        <v>169</v>
      </c>
      <c r="M39" s="251">
        <f t="shared" si="13"/>
        <v>6000</v>
      </c>
      <c r="N39" s="250">
        <v>6000</v>
      </c>
      <c r="O39" s="250">
        <v>0</v>
      </c>
      <c r="P39" s="250"/>
      <c r="Q39" s="250"/>
      <c r="R39" s="250"/>
      <c r="S39" s="217"/>
    </row>
    <row r="40" spans="1:20" s="26" customFormat="1" ht="31.5" customHeight="1">
      <c r="A40" s="241">
        <v>2</v>
      </c>
      <c r="B40" s="588" t="s">
        <v>617</v>
      </c>
      <c r="C40" s="588"/>
      <c r="D40" s="588"/>
      <c r="E40" s="242"/>
      <c r="F40" s="243">
        <f>SUM(F41)</f>
        <v>15000</v>
      </c>
      <c r="G40" s="241"/>
      <c r="H40" s="241"/>
      <c r="I40" s="241"/>
      <c r="J40" s="241"/>
      <c r="K40" s="261"/>
      <c r="L40" s="262"/>
      <c r="M40" s="263">
        <f>SUM(M41)</f>
        <v>15000</v>
      </c>
      <c r="N40" s="243">
        <f>SUM(N41)</f>
        <v>15000</v>
      </c>
      <c r="O40" s="243"/>
      <c r="P40" s="243"/>
      <c r="Q40" s="243"/>
      <c r="R40" s="243"/>
      <c r="S40" s="241"/>
    </row>
    <row r="41" spans="1:20" ht="73.5" customHeight="1">
      <c r="A41" s="217" t="s">
        <v>637</v>
      </c>
      <c r="B41" s="218" t="s">
        <v>63</v>
      </c>
      <c r="C41" s="217" t="s">
        <v>164</v>
      </c>
      <c r="D41" s="49" t="s">
        <v>618</v>
      </c>
      <c r="E41" s="219"/>
      <c r="F41" s="220">
        <v>15000</v>
      </c>
      <c r="G41" s="217" t="s">
        <v>166</v>
      </c>
      <c r="H41" s="217" t="s">
        <v>650</v>
      </c>
      <c r="I41" s="217">
        <v>2026</v>
      </c>
      <c r="J41" s="217">
        <v>2026</v>
      </c>
      <c r="K41" s="249" t="s">
        <v>168</v>
      </c>
      <c r="L41" s="250">
        <v>2026</v>
      </c>
      <c r="M41" s="251">
        <f t="shared" si="13"/>
        <v>15000</v>
      </c>
      <c r="N41" s="250">
        <v>15000</v>
      </c>
      <c r="O41" s="250"/>
      <c r="P41" s="250"/>
      <c r="Q41" s="250"/>
      <c r="R41" s="250"/>
      <c r="S41" s="217"/>
    </row>
  </sheetData>
  <mergeCells count="28">
    <mergeCell ref="S4:S5"/>
    <mergeCell ref="I4:J5"/>
    <mergeCell ref="B31:D31"/>
    <mergeCell ref="B34:D34"/>
    <mergeCell ref="B36:D36"/>
    <mergeCell ref="B37:D37"/>
    <mergeCell ref="B40:D40"/>
    <mergeCell ref="B12:D12"/>
    <mergeCell ref="B18:D18"/>
    <mergeCell ref="B19:D19"/>
    <mergeCell ref="B23:D23"/>
    <mergeCell ref="B26:D26"/>
    <mergeCell ref="A1:S1"/>
    <mergeCell ref="A2:S2"/>
    <mergeCell ref="A3:S3"/>
    <mergeCell ref="N4:R4"/>
    <mergeCell ref="B8:D8"/>
    <mergeCell ref="A4:A5"/>
    <mergeCell ref="B4:B5"/>
    <mergeCell ref="C4:C5"/>
    <mergeCell ref="D4:D5"/>
    <mergeCell ref="E4:E5"/>
    <mergeCell ref="F4:F5"/>
    <mergeCell ref="G4:G5"/>
    <mergeCell ref="H4:H5"/>
    <mergeCell ref="K4:K5"/>
    <mergeCell ref="L4:L5"/>
    <mergeCell ref="M4:M5"/>
  </mergeCells>
  <pageMargins left="0.37" right="0.33" top="0.48" bottom="0.53" header="0.3" footer="0.3"/>
  <pageSetup scale="72" orientation="landscape"/>
  <headerFooter>
    <oddFooter>&amp;C&amp;P</oddFooter>
    <firstFooter>&amp;C&amp;P</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86"/>
  <sheetViews>
    <sheetView zoomScale="85" zoomScaleNormal="85" workbookViewId="0">
      <selection activeCell="B11" sqref="B11"/>
    </sheetView>
  </sheetViews>
  <sheetFormatPr defaultColWidth="9.1796875" defaultRowHeight="15.5"/>
  <cols>
    <col min="1" max="1" width="4.26953125" style="3" customWidth="1"/>
    <col min="2" max="2" width="57.1796875" style="4" customWidth="1"/>
    <col min="3" max="3" width="10.81640625" style="8" customWidth="1"/>
    <col min="4" max="4" width="9.54296875" style="8" customWidth="1"/>
    <col min="5" max="5" width="9.453125" style="8" customWidth="1"/>
    <col min="6" max="6" width="9.1796875" style="8" customWidth="1"/>
    <col min="7" max="7" width="31.1796875" style="8" customWidth="1"/>
    <col min="8" max="8" width="10.54296875" style="8" customWidth="1"/>
    <col min="9" max="9" width="11.1796875" style="8" customWidth="1"/>
    <col min="10" max="10" width="11.26953125" style="8" customWidth="1"/>
    <col min="11" max="11" width="10.1796875" style="3" customWidth="1"/>
    <col min="12" max="12" width="11.7265625" style="8" customWidth="1"/>
    <col min="13" max="18" width="9.1796875" style="8"/>
    <col min="19" max="19" width="34.1796875" style="8" customWidth="1"/>
    <col min="20" max="16384" width="9.1796875" style="8"/>
  </cols>
  <sheetData>
    <row r="1" spans="1:19" ht="23.5">
      <c r="A1" s="566"/>
      <c r="B1" s="567"/>
      <c r="C1" s="567"/>
      <c r="D1" s="567"/>
      <c r="E1" s="567"/>
      <c r="F1" s="567"/>
      <c r="G1" s="567"/>
      <c r="H1" s="567"/>
      <c r="I1" s="567"/>
      <c r="J1" s="567"/>
      <c r="K1" s="568"/>
    </row>
    <row r="2" spans="1:19" ht="23.5">
      <c r="A2" s="566" t="s">
        <v>651</v>
      </c>
      <c r="B2" s="567"/>
      <c r="C2" s="567"/>
      <c r="D2" s="567"/>
      <c r="E2" s="567"/>
      <c r="F2" s="567"/>
      <c r="G2" s="567"/>
      <c r="H2" s="567"/>
      <c r="I2" s="567"/>
      <c r="J2" s="567"/>
      <c r="K2" s="568"/>
    </row>
    <row r="3" spans="1:19">
      <c r="A3" s="515" t="s">
        <v>2</v>
      </c>
      <c r="B3" s="516"/>
      <c r="C3" s="516"/>
      <c r="D3" s="516"/>
      <c r="E3" s="516"/>
      <c r="F3" s="516"/>
      <c r="G3" s="516"/>
      <c r="H3" s="516"/>
      <c r="I3" s="583"/>
      <c r="J3" s="583"/>
      <c r="K3" s="517"/>
    </row>
    <row r="4" spans="1:19" s="4" customFormat="1" ht="35.25" customHeight="1">
      <c r="A4" s="493" t="s">
        <v>652</v>
      </c>
      <c r="B4" s="496" t="s">
        <v>7</v>
      </c>
      <c r="C4" s="493" t="s">
        <v>653</v>
      </c>
      <c r="D4" s="493"/>
      <c r="E4" s="493"/>
      <c r="F4" s="493"/>
      <c r="G4" s="520" t="s">
        <v>25</v>
      </c>
      <c r="H4" s="590" t="s">
        <v>654</v>
      </c>
      <c r="I4" s="584" t="s">
        <v>628</v>
      </c>
      <c r="J4" s="584"/>
      <c r="K4" s="593" t="s">
        <v>14</v>
      </c>
    </row>
    <row r="5" spans="1:19" s="4" customFormat="1" ht="29.25" customHeight="1">
      <c r="A5" s="493"/>
      <c r="B5" s="496"/>
      <c r="C5" s="496" t="s">
        <v>23</v>
      </c>
      <c r="D5" s="503" t="s">
        <v>655</v>
      </c>
      <c r="E5" s="503"/>
      <c r="F5" s="503"/>
      <c r="G5" s="564"/>
      <c r="H5" s="591"/>
      <c r="I5" s="584" t="s">
        <v>40</v>
      </c>
      <c r="J5" s="584" t="s">
        <v>41</v>
      </c>
      <c r="K5" s="593"/>
    </row>
    <row r="6" spans="1:19" s="4" customFormat="1">
      <c r="A6" s="493"/>
      <c r="B6" s="496"/>
      <c r="C6" s="496"/>
      <c r="D6" s="181" t="s">
        <v>656</v>
      </c>
      <c r="E6" s="181" t="s">
        <v>657</v>
      </c>
      <c r="F6" s="181" t="s">
        <v>294</v>
      </c>
      <c r="G6" s="565"/>
      <c r="H6" s="592"/>
      <c r="I6" s="584"/>
      <c r="J6" s="584"/>
      <c r="K6" s="593"/>
    </row>
    <row r="7" spans="1:19" ht="22.5" customHeight="1">
      <c r="A7" s="182">
        <v>1</v>
      </c>
      <c r="B7" s="183">
        <v>2</v>
      </c>
      <c r="C7" s="182" t="s">
        <v>658</v>
      </c>
      <c r="D7" s="182">
        <v>4</v>
      </c>
      <c r="E7" s="182">
        <v>5</v>
      </c>
      <c r="F7" s="182">
        <v>6</v>
      </c>
      <c r="G7" s="182">
        <v>7</v>
      </c>
      <c r="H7" s="182">
        <v>8</v>
      </c>
      <c r="I7" s="196">
        <v>9</v>
      </c>
      <c r="J7" s="196">
        <v>10</v>
      </c>
      <c r="K7" s="182">
        <v>11</v>
      </c>
      <c r="R7" s="8" t="s">
        <v>659</v>
      </c>
      <c r="S7" s="8" t="s">
        <v>660</v>
      </c>
    </row>
    <row r="8" spans="1:19" s="31" customFormat="1" ht="15">
      <c r="A8" s="85"/>
      <c r="B8" s="86" t="s">
        <v>60</v>
      </c>
      <c r="C8" s="87">
        <f>C9+C25+C39+C54+C70</f>
        <v>373700</v>
      </c>
      <c r="D8" s="87">
        <f>D9+D25+D39+D54+D70</f>
        <v>144500</v>
      </c>
      <c r="E8" s="87">
        <f>E9+E25+E39+E54+E70</f>
        <v>179500</v>
      </c>
      <c r="F8" s="87">
        <f>F9+F25+F39+F54+F70</f>
        <v>49700</v>
      </c>
      <c r="G8" s="86"/>
      <c r="H8" s="86"/>
      <c r="I8" s="86"/>
      <c r="J8" s="86"/>
      <c r="K8" s="85"/>
      <c r="L8" s="163">
        <f>D8+E8+F8</f>
        <v>373700</v>
      </c>
    </row>
    <row r="9" spans="1:19" s="31" customFormat="1" ht="15">
      <c r="A9" s="89"/>
      <c r="B9" s="90" t="s">
        <v>661</v>
      </c>
      <c r="C9" s="91">
        <f>C10+C17+C22</f>
        <v>74200</v>
      </c>
      <c r="D9" s="91">
        <f>D10+D17+D36</f>
        <v>38500</v>
      </c>
      <c r="E9" s="91">
        <f>E10+E17+E22</f>
        <v>26500</v>
      </c>
      <c r="F9" s="91">
        <f>F10+F17+F22</f>
        <v>9200</v>
      </c>
      <c r="G9" s="93"/>
      <c r="H9" s="93"/>
      <c r="I9" s="93"/>
      <c r="J9" s="93"/>
      <c r="K9" s="89"/>
      <c r="L9" s="163">
        <f>D9+E9+F9</f>
        <v>74200</v>
      </c>
    </row>
    <row r="10" spans="1:19" s="1" customFormat="1" ht="15.75" customHeight="1">
      <c r="A10" s="94" t="s">
        <v>218</v>
      </c>
      <c r="B10" s="95" t="s">
        <v>461</v>
      </c>
      <c r="C10" s="96">
        <f>SUM(C11:C16)</f>
        <v>43500</v>
      </c>
      <c r="D10" s="96">
        <f t="shared" ref="D10:F10" si="0">SUM(D11:D16)</f>
        <v>38500</v>
      </c>
      <c r="E10" s="96">
        <f t="shared" si="0"/>
        <v>0</v>
      </c>
      <c r="F10" s="96">
        <f t="shared" si="0"/>
        <v>5000</v>
      </c>
      <c r="G10" s="98"/>
      <c r="H10" s="98"/>
      <c r="I10" s="98"/>
      <c r="J10" s="98"/>
      <c r="K10" s="197"/>
      <c r="L10" s="166"/>
    </row>
    <row r="11" spans="1:19" s="1" customFormat="1" ht="67.5" customHeight="1">
      <c r="A11" s="99">
        <v>1</v>
      </c>
      <c r="B11" s="100" t="s">
        <v>662</v>
      </c>
      <c r="C11" s="101">
        <f>D11+E11+F11</f>
        <v>19500</v>
      </c>
      <c r="D11" s="102">
        <v>19500</v>
      </c>
      <c r="E11" s="102"/>
      <c r="F11" s="102"/>
      <c r="G11" s="103" t="s">
        <v>663</v>
      </c>
      <c r="H11" s="103">
        <v>2026</v>
      </c>
      <c r="I11" s="103">
        <v>2026</v>
      </c>
      <c r="J11" s="103">
        <v>2027</v>
      </c>
      <c r="K11" s="103" t="s">
        <v>664</v>
      </c>
      <c r="L11" s="167"/>
      <c r="O11" s="1">
        <v>6</v>
      </c>
      <c r="P11" s="1">
        <f>6000*1.1*7</f>
        <v>46200.000000000007</v>
      </c>
    </row>
    <row r="12" spans="1:19" s="1" customFormat="1" ht="68.25" customHeight="1">
      <c r="A12" s="99">
        <v>2</v>
      </c>
      <c r="B12" s="100" t="s">
        <v>665</v>
      </c>
      <c r="C12" s="101">
        <f t="shared" ref="C12:C37" si="1">D12+E12+F12</f>
        <v>6000</v>
      </c>
      <c r="D12" s="102">
        <v>6000</v>
      </c>
      <c r="E12" s="102"/>
      <c r="F12" s="102"/>
      <c r="G12" s="103" t="s">
        <v>666</v>
      </c>
      <c r="H12" s="103">
        <v>2026</v>
      </c>
      <c r="I12" s="103">
        <v>2026</v>
      </c>
      <c r="J12" s="103">
        <v>2026</v>
      </c>
      <c r="K12" s="103" t="s">
        <v>664</v>
      </c>
      <c r="L12" s="167"/>
      <c r="N12" s="1">
        <v>3.5</v>
      </c>
      <c r="O12" s="1">
        <v>0.4</v>
      </c>
      <c r="P12" s="1">
        <f>O11*N12*O12</f>
        <v>8.4</v>
      </c>
      <c r="R12" s="1">
        <f>3.7*7*1.5</f>
        <v>38.85</v>
      </c>
    </row>
    <row r="13" spans="1:19" s="1" customFormat="1" ht="46.5" customHeight="1">
      <c r="A13" s="99">
        <v>3</v>
      </c>
      <c r="B13" s="104" t="s">
        <v>667</v>
      </c>
      <c r="C13" s="101">
        <f t="shared" si="1"/>
        <v>9000</v>
      </c>
      <c r="D13" s="102">
        <v>9000</v>
      </c>
      <c r="E13" s="102"/>
      <c r="F13" s="102"/>
      <c r="G13" s="103" t="s">
        <v>668</v>
      </c>
      <c r="H13" s="103">
        <v>2026</v>
      </c>
      <c r="I13" s="103">
        <v>2026</v>
      </c>
      <c r="J13" s="103">
        <v>2026</v>
      </c>
      <c r="K13" s="99"/>
      <c r="L13" s="167"/>
      <c r="N13" s="8">
        <v>3.5</v>
      </c>
      <c r="O13" s="8">
        <v>1.1000000000000001</v>
      </c>
      <c r="P13" s="8">
        <f>O11*N13*O13</f>
        <v>23.1</v>
      </c>
      <c r="Q13" s="1">
        <f>2*5.5*0.9</f>
        <v>9.9</v>
      </c>
    </row>
    <row r="14" spans="1:19" s="1" customFormat="1" ht="46.5" customHeight="1">
      <c r="A14" s="99">
        <v>4</v>
      </c>
      <c r="B14" s="105" t="s">
        <v>669</v>
      </c>
      <c r="C14" s="101">
        <f t="shared" si="1"/>
        <v>4000</v>
      </c>
      <c r="D14" s="102">
        <v>4000</v>
      </c>
      <c r="E14" s="102"/>
      <c r="F14" s="102"/>
      <c r="G14" s="103" t="s">
        <v>670</v>
      </c>
      <c r="H14" s="103">
        <v>2026</v>
      </c>
      <c r="I14" s="103">
        <v>2026</v>
      </c>
      <c r="J14" s="103">
        <v>2026</v>
      </c>
      <c r="K14" s="99"/>
      <c r="L14" s="167"/>
      <c r="N14" s="8"/>
      <c r="O14" s="8"/>
      <c r="P14" s="8">
        <f>P12+P13</f>
        <v>31.5</v>
      </c>
    </row>
    <row r="15" spans="1:19" s="1" customFormat="1">
      <c r="A15" s="99">
        <v>5</v>
      </c>
      <c r="B15" s="100" t="s">
        <v>671</v>
      </c>
      <c r="C15" s="101">
        <f t="shared" si="1"/>
        <v>5000</v>
      </c>
      <c r="D15" s="102"/>
      <c r="E15" s="102"/>
      <c r="F15" s="102">
        <v>5000</v>
      </c>
      <c r="G15" s="103" t="s">
        <v>672</v>
      </c>
      <c r="H15" s="103">
        <v>2026</v>
      </c>
      <c r="I15" s="103">
        <v>2026</v>
      </c>
      <c r="J15" s="103">
        <v>2026</v>
      </c>
      <c r="K15" s="99"/>
      <c r="L15" s="167"/>
      <c r="N15" s="8"/>
      <c r="O15" s="8"/>
      <c r="P15" s="8">
        <f>1*1.1*5.5</f>
        <v>6.0500000000000007</v>
      </c>
    </row>
    <row r="16" spans="1:19" s="1" customFormat="1">
      <c r="A16" s="99"/>
      <c r="B16" s="100"/>
      <c r="C16" s="101"/>
      <c r="D16" s="102"/>
      <c r="E16" s="102"/>
      <c r="F16" s="102"/>
      <c r="G16" s="103"/>
      <c r="H16" s="103"/>
      <c r="I16" s="103"/>
      <c r="J16" s="103"/>
      <c r="K16" s="99"/>
      <c r="L16" s="167"/>
      <c r="N16" s="8"/>
      <c r="O16" s="8"/>
      <c r="P16" s="8"/>
    </row>
    <row r="17" spans="1:20" s="1" customFormat="1" ht="15.75" customHeight="1">
      <c r="A17" s="94" t="s">
        <v>486</v>
      </c>
      <c r="B17" s="95" t="s">
        <v>673</v>
      </c>
      <c r="C17" s="96">
        <f>SUM(C18:C21)</f>
        <v>29700</v>
      </c>
      <c r="D17" s="96">
        <f t="shared" ref="D17:F17" si="2">SUM(D18:D21)</f>
        <v>0</v>
      </c>
      <c r="E17" s="96">
        <f t="shared" si="2"/>
        <v>26500</v>
      </c>
      <c r="F17" s="96">
        <f t="shared" si="2"/>
        <v>3200</v>
      </c>
      <c r="G17" s="98"/>
      <c r="H17" s="98"/>
      <c r="I17" s="98"/>
      <c r="J17" s="98"/>
      <c r="K17" s="197"/>
      <c r="L17" s="167"/>
      <c r="N17" s="1">
        <f>150*2*3</f>
        <v>900</v>
      </c>
    </row>
    <row r="18" spans="1:20" s="1" customFormat="1" ht="56.25" customHeight="1">
      <c r="A18" s="99">
        <v>1</v>
      </c>
      <c r="B18" s="106" t="s">
        <v>674</v>
      </c>
      <c r="C18" s="101">
        <f t="shared" si="1"/>
        <v>9000</v>
      </c>
      <c r="D18" s="107"/>
      <c r="E18" s="107">
        <v>9000</v>
      </c>
      <c r="F18" s="107"/>
      <c r="G18" s="133" t="s">
        <v>675</v>
      </c>
      <c r="H18" s="103">
        <v>2026</v>
      </c>
      <c r="I18" s="103">
        <v>2026</v>
      </c>
      <c r="J18" s="103">
        <v>2026</v>
      </c>
      <c r="K18" s="120"/>
      <c r="L18" s="167"/>
      <c r="O18" s="1">
        <f>300*3000</f>
        <v>900000</v>
      </c>
    </row>
    <row r="19" spans="1:20" s="1" customFormat="1" ht="62.25" customHeight="1">
      <c r="A19" s="99">
        <v>2</v>
      </c>
      <c r="B19" s="106" t="s">
        <v>503</v>
      </c>
      <c r="C19" s="101">
        <f t="shared" si="1"/>
        <v>17500</v>
      </c>
      <c r="D19" s="107"/>
      <c r="E19" s="107">
        <v>17500</v>
      </c>
      <c r="F19" s="107"/>
      <c r="G19" s="133" t="s">
        <v>504</v>
      </c>
      <c r="H19" s="103">
        <v>2026</v>
      </c>
      <c r="I19" s="103">
        <v>2026</v>
      </c>
      <c r="J19" s="103">
        <v>2027</v>
      </c>
      <c r="K19" s="120"/>
      <c r="L19" s="167"/>
    </row>
    <row r="20" spans="1:20" s="1" customFormat="1" ht="62.25" customHeight="1">
      <c r="A20" s="99">
        <v>3</v>
      </c>
      <c r="B20" s="109" t="s">
        <v>676</v>
      </c>
      <c r="C20" s="110">
        <f t="shared" si="1"/>
        <v>3200</v>
      </c>
      <c r="D20" s="111"/>
      <c r="E20" s="111"/>
      <c r="F20" s="111">
        <v>3200</v>
      </c>
      <c r="G20" s="184" t="s">
        <v>677</v>
      </c>
      <c r="H20" s="103">
        <v>2026</v>
      </c>
      <c r="I20" s="103">
        <v>2026</v>
      </c>
      <c r="J20" s="103">
        <v>2026</v>
      </c>
      <c r="K20" s="120"/>
      <c r="L20" s="167"/>
      <c r="M20" s="1">
        <f>425+300</f>
        <v>725</v>
      </c>
      <c r="N20" s="1">
        <f>M20*3</f>
        <v>2175</v>
      </c>
      <c r="O20" s="1">
        <f>700/0.3</f>
        <v>2333.3333333333335</v>
      </c>
      <c r="P20" s="1">
        <f>2000*0.3</f>
        <v>600</v>
      </c>
    </row>
    <row r="21" spans="1:20" s="1" customFormat="1">
      <c r="A21" s="99"/>
      <c r="B21" s="113"/>
      <c r="C21" s="114"/>
      <c r="D21" s="115"/>
      <c r="E21" s="115"/>
      <c r="F21" s="115"/>
      <c r="G21" s="117"/>
      <c r="H21" s="117"/>
      <c r="I21" s="117"/>
      <c r="J21" s="117"/>
      <c r="K21" s="120"/>
      <c r="L21" s="167"/>
    </row>
    <row r="22" spans="1:20" s="1" customFormat="1" ht="15.75" customHeight="1">
      <c r="A22" s="94" t="s">
        <v>492</v>
      </c>
      <c r="B22" s="95" t="s">
        <v>678</v>
      </c>
      <c r="C22" s="96">
        <f>SUM(C23:C24)</f>
        <v>1000</v>
      </c>
      <c r="D22" s="96">
        <f t="shared" ref="D22:F22" si="3">SUM(D23:D24)</f>
        <v>0</v>
      </c>
      <c r="E22" s="96">
        <f t="shared" si="3"/>
        <v>0</v>
      </c>
      <c r="F22" s="96">
        <f t="shared" si="3"/>
        <v>1000</v>
      </c>
      <c r="G22" s="98"/>
      <c r="H22" s="98"/>
      <c r="I22" s="98"/>
      <c r="J22" s="98"/>
      <c r="K22" s="197"/>
      <c r="L22" s="167"/>
    </row>
    <row r="23" spans="1:20" s="2" customFormat="1" ht="31">
      <c r="A23" s="120">
        <v>1</v>
      </c>
      <c r="B23" s="100" t="s">
        <v>521</v>
      </c>
      <c r="C23" s="101">
        <f>D23+E23+F23</f>
        <v>1000</v>
      </c>
      <c r="D23" s="121"/>
      <c r="E23" s="121"/>
      <c r="F23" s="121">
        <v>1000</v>
      </c>
      <c r="G23" s="185" t="s">
        <v>679</v>
      </c>
      <c r="H23" s="103">
        <v>2026</v>
      </c>
      <c r="I23" s="103">
        <v>2026</v>
      </c>
      <c r="J23" s="103">
        <v>2026</v>
      </c>
      <c r="K23" s="120"/>
      <c r="L23" s="167"/>
    </row>
    <row r="24" spans="1:20" s="2" customFormat="1">
      <c r="A24" s="120"/>
      <c r="B24" s="186"/>
      <c r="C24" s="101"/>
      <c r="D24" s="121"/>
      <c r="E24" s="121"/>
      <c r="F24" s="121"/>
      <c r="G24" s="117"/>
      <c r="H24" s="117"/>
      <c r="I24" s="117"/>
      <c r="J24" s="117"/>
      <c r="K24" s="120"/>
      <c r="L24" s="167"/>
    </row>
    <row r="25" spans="1:20" s="31" customFormat="1" ht="15">
      <c r="A25" s="89"/>
      <c r="B25" s="90" t="s">
        <v>680</v>
      </c>
      <c r="C25" s="91">
        <f>C26+C32+C36</f>
        <v>110500</v>
      </c>
      <c r="D25" s="91">
        <f>D26+D32+D36</f>
        <v>64000</v>
      </c>
      <c r="E25" s="91">
        <f>E26+E32+E36</f>
        <v>35000</v>
      </c>
      <c r="F25" s="91">
        <f>F26+F32+F36</f>
        <v>11500</v>
      </c>
      <c r="G25" s="93"/>
      <c r="H25" s="127"/>
      <c r="I25" s="127"/>
      <c r="J25" s="127"/>
      <c r="K25" s="89"/>
      <c r="L25" s="163">
        <f>D25+E25+F25</f>
        <v>110500</v>
      </c>
    </row>
    <row r="26" spans="1:20" s="1" customFormat="1" ht="15.75" customHeight="1">
      <c r="A26" s="128" t="s">
        <v>218</v>
      </c>
      <c r="B26" s="129" t="s">
        <v>461</v>
      </c>
      <c r="C26" s="130">
        <f>SUM(C27:C31)</f>
        <v>58000</v>
      </c>
      <c r="D26" s="130">
        <f t="shared" ref="D26:F26" si="4">SUM(D27:D31)</f>
        <v>54000</v>
      </c>
      <c r="E26" s="130">
        <f t="shared" si="4"/>
        <v>0</v>
      </c>
      <c r="F26" s="130">
        <f t="shared" si="4"/>
        <v>4000</v>
      </c>
      <c r="G26" s="187"/>
      <c r="H26" s="132"/>
      <c r="I26" s="132"/>
      <c r="J26" s="132"/>
      <c r="K26" s="198"/>
      <c r="L26" s="167"/>
    </row>
    <row r="27" spans="1:20" s="1" customFormat="1" ht="56">
      <c r="A27" s="99">
        <v>1</v>
      </c>
      <c r="B27" s="100" t="s">
        <v>681</v>
      </c>
      <c r="C27" s="101">
        <f t="shared" ref="C27" si="5">D27+E27+F27</f>
        <v>18000</v>
      </c>
      <c r="D27" s="102">
        <v>18000</v>
      </c>
      <c r="E27" s="102"/>
      <c r="F27" s="102"/>
      <c r="G27" s="188" t="s">
        <v>682</v>
      </c>
      <c r="H27" s="133">
        <v>2027</v>
      </c>
      <c r="I27" s="133">
        <v>2027</v>
      </c>
      <c r="J27" s="133">
        <v>2028</v>
      </c>
      <c r="K27" s="199" t="s">
        <v>664</v>
      </c>
      <c r="N27" s="1">
        <v>3.5</v>
      </c>
      <c r="O27" s="1">
        <v>0.4</v>
      </c>
      <c r="P27" s="1">
        <f>O5*N27*O27</f>
        <v>0</v>
      </c>
      <c r="S27" s="1" t="s">
        <v>683</v>
      </c>
      <c r="T27" s="1">
        <v>0.4</v>
      </c>
    </row>
    <row r="28" spans="1:20" s="1" customFormat="1" ht="31">
      <c r="A28" s="134">
        <v>2</v>
      </c>
      <c r="B28" s="134" t="s">
        <v>464</v>
      </c>
      <c r="C28" s="101">
        <f t="shared" si="1"/>
        <v>13000</v>
      </c>
      <c r="D28" s="107">
        <v>13000</v>
      </c>
      <c r="E28" s="107"/>
      <c r="F28" s="107"/>
      <c r="G28" s="133" t="s">
        <v>684</v>
      </c>
      <c r="H28" s="133">
        <v>2027</v>
      </c>
      <c r="I28" s="133">
        <v>2027</v>
      </c>
      <c r="J28" s="133">
        <v>2027</v>
      </c>
      <c r="K28" s="134"/>
      <c r="N28" s="1">
        <f>2.2*5.5*1.1</f>
        <v>13.310000000000002</v>
      </c>
      <c r="S28" s="1" t="s">
        <v>685</v>
      </c>
      <c r="T28" s="1">
        <v>1.1000000000000001</v>
      </c>
    </row>
    <row r="29" spans="1:20" s="1" customFormat="1" ht="31">
      <c r="A29" s="134">
        <v>3</v>
      </c>
      <c r="B29" s="134" t="s">
        <v>462</v>
      </c>
      <c r="C29" s="101">
        <f t="shared" si="1"/>
        <v>23000</v>
      </c>
      <c r="D29" s="107">
        <v>23000</v>
      </c>
      <c r="E29" s="107"/>
      <c r="F29" s="107"/>
      <c r="G29" s="133"/>
      <c r="H29" s="133">
        <v>2027</v>
      </c>
      <c r="I29" s="133">
        <v>2027</v>
      </c>
      <c r="J29" s="133">
        <v>2027</v>
      </c>
      <c r="K29" s="134"/>
      <c r="S29" s="1" t="s">
        <v>686</v>
      </c>
      <c r="T29" s="1">
        <v>0.6</v>
      </c>
    </row>
    <row r="30" spans="1:20" s="1" customFormat="1">
      <c r="A30" s="99">
        <v>4</v>
      </c>
      <c r="B30" s="100" t="s">
        <v>671</v>
      </c>
      <c r="C30" s="101">
        <f t="shared" ref="C30" si="6">D30+E30+F30</f>
        <v>4000</v>
      </c>
      <c r="D30" s="102"/>
      <c r="E30" s="102"/>
      <c r="F30" s="102">
        <v>4000</v>
      </c>
      <c r="G30" s="103" t="s">
        <v>687</v>
      </c>
      <c r="H30" s="133">
        <v>2027</v>
      </c>
      <c r="I30" s="133">
        <v>2027</v>
      </c>
      <c r="J30" s="133">
        <v>2027</v>
      </c>
      <c r="K30" s="99"/>
      <c r="N30" s="8"/>
      <c r="O30" s="8"/>
      <c r="P30" s="8">
        <f>1*1.1*5.5</f>
        <v>6.0500000000000007</v>
      </c>
      <c r="S30" s="1" t="s">
        <v>688</v>
      </c>
      <c r="T30" s="1">
        <v>1.4</v>
      </c>
    </row>
    <row r="31" spans="1:20" s="1" customFormat="1">
      <c r="A31" s="134"/>
      <c r="B31" s="134"/>
      <c r="C31" s="101">
        <f t="shared" si="1"/>
        <v>0</v>
      </c>
      <c r="D31" s="107"/>
      <c r="E31" s="107"/>
      <c r="F31" s="107"/>
      <c r="G31" s="133"/>
      <c r="H31" s="133"/>
      <c r="I31" s="133"/>
      <c r="J31" s="133"/>
      <c r="K31" s="134"/>
    </row>
    <row r="32" spans="1:20" s="1" customFormat="1" ht="15.75" customHeight="1">
      <c r="A32" s="94" t="s">
        <v>486</v>
      </c>
      <c r="B32" s="95" t="s">
        <v>673</v>
      </c>
      <c r="C32" s="96">
        <f>SUM(C33:C35)</f>
        <v>50000</v>
      </c>
      <c r="D32" s="96">
        <f>SUM(D33:D35)</f>
        <v>10000</v>
      </c>
      <c r="E32" s="96">
        <f>SUM(E33:E35)</f>
        <v>35000</v>
      </c>
      <c r="F32" s="96">
        <f>SUM(F33:F35)</f>
        <v>5000</v>
      </c>
      <c r="G32" s="98"/>
      <c r="H32" s="98"/>
      <c r="I32" s="98"/>
      <c r="J32" s="98"/>
      <c r="K32" s="197"/>
      <c r="N32" s="1">
        <f>150*2*3</f>
        <v>900</v>
      </c>
    </row>
    <row r="33" spans="1:18" s="1" customFormat="1" ht="31">
      <c r="A33" s="134">
        <v>1</v>
      </c>
      <c r="B33" s="134" t="s">
        <v>689</v>
      </c>
      <c r="C33" s="101">
        <f t="shared" si="1"/>
        <v>19000</v>
      </c>
      <c r="D33" s="107"/>
      <c r="E33" s="107">
        <v>19000</v>
      </c>
      <c r="F33" s="107"/>
      <c r="G33" s="134"/>
      <c r="H33" s="133">
        <v>2027</v>
      </c>
      <c r="I33" s="133">
        <v>2027</v>
      </c>
      <c r="J33" s="133">
        <v>2028</v>
      </c>
      <c r="K33" s="134"/>
      <c r="P33" s="1">
        <f>10*90*15</f>
        <v>13500</v>
      </c>
    </row>
    <row r="34" spans="1:18" s="1" customFormat="1" ht="31">
      <c r="A34" s="134">
        <v>2</v>
      </c>
      <c r="B34" s="134" t="s">
        <v>690</v>
      </c>
      <c r="C34" s="101">
        <f t="shared" si="1"/>
        <v>16000</v>
      </c>
      <c r="D34" s="107"/>
      <c r="E34" s="107">
        <v>16000</v>
      </c>
      <c r="F34" s="107"/>
      <c r="G34" s="134"/>
      <c r="H34" s="133">
        <v>2027</v>
      </c>
      <c r="I34" s="133">
        <v>2027</v>
      </c>
      <c r="J34" s="133">
        <v>2028</v>
      </c>
      <c r="K34" s="134"/>
    </row>
    <row r="35" spans="1:18" s="1" customFormat="1" ht="36.75" customHeight="1">
      <c r="A35" s="134">
        <v>3</v>
      </c>
      <c r="B35" s="134" t="s">
        <v>691</v>
      </c>
      <c r="C35" s="101">
        <f t="shared" si="1"/>
        <v>15000</v>
      </c>
      <c r="D35" s="107">
        <v>10000</v>
      </c>
      <c r="E35" s="107"/>
      <c r="F35" s="107">
        <v>5000</v>
      </c>
      <c r="G35" s="134"/>
      <c r="H35" s="133"/>
      <c r="I35" s="133"/>
      <c r="J35" s="133"/>
      <c r="K35" s="200" t="s">
        <v>692</v>
      </c>
    </row>
    <row r="36" spans="1:18" s="1" customFormat="1" ht="15.75" customHeight="1">
      <c r="A36" s="189" t="s">
        <v>492</v>
      </c>
      <c r="B36" s="190" t="s">
        <v>678</v>
      </c>
      <c r="C36" s="191">
        <f>SUM(C37:C38)</f>
        <v>2500</v>
      </c>
      <c r="D36" s="191">
        <f>SUM(D37:D38)</f>
        <v>0</v>
      </c>
      <c r="E36" s="191">
        <f>SUM(E37:E38)</f>
        <v>0</v>
      </c>
      <c r="F36" s="191">
        <f>SUM(F37:F38)</f>
        <v>2500</v>
      </c>
      <c r="G36" s="192"/>
      <c r="H36" s="192"/>
      <c r="I36" s="192"/>
      <c r="J36" s="192"/>
      <c r="K36" s="201"/>
      <c r="L36" s="167"/>
      <c r="O36" s="1">
        <f>4*5.5*1.1</f>
        <v>24.200000000000003</v>
      </c>
    </row>
    <row r="37" spans="1:18" s="1" customFormat="1" ht="56.25" customHeight="1">
      <c r="A37" s="99">
        <v>1</v>
      </c>
      <c r="B37" s="100" t="s">
        <v>533</v>
      </c>
      <c r="C37" s="101">
        <f t="shared" si="1"/>
        <v>2500</v>
      </c>
      <c r="D37" s="102"/>
      <c r="E37" s="102"/>
      <c r="F37" s="102">
        <v>2500</v>
      </c>
      <c r="G37" s="99"/>
      <c r="H37" s="133">
        <v>2027</v>
      </c>
      <c r="I37" s="133">
        <v>2027</v>
      </c>
      <c r="J37" s="133">
        <v>2027</v>
      </c>
      <c r="K37" s="99"/>
      <c r="L37" s="167"/>
      <c r="N37" s="1">
        <v>3.5</v>
      </c>
      <c r="O37" s="1">
        <v>0.4</v>
      </c>
      <c r="P37" s="1">
        <f>O11*N37*O37</f>
        <v>8.4</v>
      </c>
      <c r="R37" s="1">
        <f>15*12*12000</f>
        <v>2160000</v>
      </c>
    </row>
    <row r="38" spans="1:18">
      <c r="A38" s="18"/>
      <c r="B38" s="15"/>
      <c r="C38" s="193"/>
      <c r="D38" s="135"/>
      <c r="E38" s="135"/>
      <c r="F38" s="135"/>
      <c r="G38" s="18"/>
      <c r="H38" s="18"/>
      <c r="I38" s="18"/>
      <c r="J38" s="18"/>
      <c r="K38" s="18"/>
      <c r="N38" s="8">
        <v>3.5</v>
      </c>
      <c r="O38" s="8">
        <v>1.1000000000000001</v>
      </c>
      <c r="P38" s="8">
        <f>O11*N38*O38</f>
        <v>23.1</v>
      </c>
    </row>
    <row r="39" spans="1:18" s="31" customFormat="1" ht="15">
      <c r="A39" s="89"/>
      <c r="B39" s="90" t="s">
        <v>693</v>
      </c>
      <c r="C39" s="91">
        <f>C40+C46+C50</f>
        <v>69500</v>
      </c>
      <c r="D39" s="91">
        <f t="shared" ref="D39:F39" si="7">D40+D46+D50</f>
        <v>0</v>
      </c>
      <c r="E39" s="91">
        <f t="shared" si="7"/>
        <v>54500</v>
      </c>
      <c r="F39" s="91">
        <f t="shared" si="7"/>
        <v>15000</v>
      </c>
      <c r="G39" s="93"/>
      <c r="H39" s="127"/>
      <c r="I39" s="127"/>
      <c r="J39" s="127"/>
      <c r="K39" s="89"/>
      <c r="L39" s="163">
        <f>D39+E39+F39</f>
        <v>69500</v>
      </c>
    </row>
    <row r="40" spans="1:18" s="1" customFormat="1" ht="15.75" customHeight="1">
      <c r="A40" s="128" t="s">
        <v>218</v>
      </c>
      <c r="B40" s="129" t="s">
        <v>461</v>
      </c>
      <c r="C40" s="130">
        <f>SUM(C41:C45)</f>
        <v>4000</v>
      </c>
      <c r="D40" s="130">
        <f t="shared" ref="D40:F40" si="8">SUM(D41:D45)</f>
        <v>0</v>
      </c>
      <c r="E40" s="130">
        <f t="shared" si="8"/>
        <v>0</v>
      </c>
      <c r="F40" s="130">
        <f t="shared" si="8"/>
        <v>4000</v>
      </c>
      <c r="G40" s="187"/>
      <c r="H40" s="132"/>
      <c r="I40" s="132"/>
      <c r="J40" s="132"/>
      <c r="K40" s="198"/>
      <c r="L40" s="8"/>
    </row>
    <row r="41" spans="1:18" s="1" customFormat="1">
      <c r="A41" s="99">
        <v>1</v>
      </c>
      <c r="B41" s="100"/>
      <c r="C41" s="101">
        <f t="shared" ref="C41:C45" si="9">D41+E41+F41</f>
        <v>0</v>
      </c>
      <c r="D41" s="102"/>
      <c r="E41" s="102"/>
      <c r="F41" s="102"/>
      <c r="G41" s="188"/>
      <c r="H41" s="133"/>
      <c r="I41" s="133"/>
      <c r="J41" s="133"/>
      <c r="K41" s="202"/>
      <c r="L41" s="8"/>
      <c r="N41" s="1">
        <v>3.5</v>
      </c>
      <c r="O41" s="1">
        <v>0.4</v>
      </c>
      <c r="P41" s="1">
        <f>O22*N41*O41</f>
        <v>0</v>
      </c>
    </row>
    <row r="42" spans="1:18" s="1" customFormat="1">
      <c r="A42" s="134">
        <v>2</v>
      </c>
      <c r="B42" s="134"/>
      <c r="C42" s="101">
        <f t="shared" si="9"/>
        <v>0</v>
      </c>
      <c r="D42" s="107"/>
      <c r="E42" s="107"/>
      <c r="F42" s="107"/>
      <c r="G42" s="133"/>
      <c r="H42" s="133"/>
      <c r="I42" s="133"/>
      <c r="J42" s="133"/>
      <c r="K42" s="134"/>
      <c r="L42" s="8"/>
      <c r="N42" s="1">
        <f>2.2*5.5*1.1</f>
        <v>13.310000000000002</v>
      </c>
    </row>
    <row r="43" spans="1:18" s="1" customFormat="1">
      <c r="A43" s="134">
        <v>3</v>
      </c>
      <c r="B43" s="134"/>
      <c r="C43" s="101">
        <f t="shared" si="9"/>
        <v>0</v>
      </c>
      <c r="D43" s="107"/>
      <c r="E43" s="107"/>
      <c r="F43" s="107"/>
      <c r="G43" s="133"/>
      <c r="H43" s="133"/>
      <c r="I43" s="133"/>
      <c r="J43" s="133"/>
      <c r="K43" s="134"/>
      <c r="L43" s="8"/>
    </row>
    <row r="44" spans="1:18" s="1" customFormat="1">
      <c r="A44" s="99">
        <v>4</v>
      </c>
      <c r="B44" s="100" t="s">
        <v>671</v>
      </c>
      <c r="C44" s="101">
        <f t="shared" si="9"/>
        <v>4000</v>
      </c>
      <c r="D44" s="102"/>
      <c r="E44" s="102"/>
      <c r="F44" s="102">
        <v>4000</v>
      </c>
      <c r="G44" s="103" t="s">
        <v>687</v>
      </c>
      <c r="H44" s="103"/>
      <c r="I44" s="103"/>
      <c r="J44" s="103"/>
      <c r="K44" s="99"/>
      <c r="L44" s="8"/>
      <c r="N44" s="8"/>
      <c r="O44" s="8"/>
      <c r="P44" s="8">
        <f>1*1.1*5.5</f>
        <v>6.0500000000000007</v>
      </c>
    </row>
    <row r="45" spans="1:18" s="1" customFormat="1">
      <c r="A45" s="134"/>
      <c r="B45" s="134"/>
      <c r="C45" s="101">
        <f t="shared" si="9"/>
        <v>0</v>
      </c>
      <c r="D45" s="107"/>
      <c r="E45" s="107"/>
      <c r="F45" s="107"/>
      <c r="G45" s="133"/>
      <c r="H45" s="133"/>
      <c r="I45" s="133"/>
      <c r="J45" s="133"/>
      <c r="K45" s="134"/>
      <c r="L45" s="8"/>
    </row>
    <row r="46" spans="1:18" s="1" customFormat="1" ht="15.75" customHeight="1">
      <c r="A46" s="94" t="s">
        <v>486</v>
      </c>
      <c r="B46" s="95" t="s">
        <v>673</v>
      </c>
      <c r="C46" s="96">
        <f>SUM(C47:C49)</f>
        <v>59500</v>
      </c>
      <c r="D46" s="96">
        <f t="shared" ref="D46:F46" si="10">SUM(D47:D49)</f>
        <v>0</v>
      </c>
      <c r="E46" s="96">
        <f t="shared" si="10"/>
        <v>54500</v>
      </c>
      <c r="F46" s="96">
        <f t="shared" si="10"/>
        <v>5000</v>
      </c>
      <c r="G46" s="98"/>
      <c r="H46" s="98"/>
      <c r="I46" s="98"/>
      <c r="J46" s="98"/>
      <c r="K46" s="197"/>
      <c r="L46" s="8"/>
      <c r="N46" s="1">
        <f>150*2*3</f>
        <v>900</v>
      </c>
    </row>
    <row r="47" spans="1:18" s="1" customFormat="1" ht="31">
      <c r="A47" s="134"/>
      <c r="B47" s="159" t="s">
        <v>694</v>
      </c>
      <c r="C47" s="101">
        <f t="shared" ref="C47:C49" si="11">D47+E47+F47</f>
        <v>14500</v>
      </c>
      <c r="D47" s="107"/>
      <c r="E47" s="107">
        <v>14500</v>
      </c>
      <c r="F47" s="107"/>
      <c r="G47" s="134"/>
      <c r="H47" s="133">
        <v>2028</v>
      </c>
      <c r="I47" s="133">
        <v>2028</v>
      </c>
      <c r="J47" s="133">
        <v>2028</v>
      </c>
      <c r="K47" s="134"/>
    </row>
    <row r="48" spans="1:18" s="1" customFormat="1" ht="31">
      <c r="A48" s="134"/>
      <c r="B48" s="104" t="s">
        <v>544</v>
      </c>
      <c r="C48" s="101">
        <f t="shared" si="11"/>
        <v>45000</v>
      </c>
      <c r="D48" s="107"/>
      <c r="E48" s="107">
        <v>40000</v>
      </c>
      <c r="F48" s="107">
        <v>5000</v>
      </c>
      <c r="G48" s="134"/>
      <c r="H48" s="133">
        <v>2028</v>
      </c>
      <c r="I48" s="133">
        <v>2028</v>
      </c>
      <c r="J48" s="133">
        <v>2029</v>
      </c>
      <c r="K48" s="134"/>
    </row>
    <row r="49" spans="1:16" s="1" customFormat="1">
      <c r="A49" s="134"/>
      <c r="B49" s="134"/>
      <c r="C49" s="101">
        <f t="shared" si="11"/>
        <v>0</v>
      </c>
      <c r="D49" s="107"/>
      <c r="E49" s="107"/>
      <c r="F49" s="107"/>
      <c r="G49" s="134"/>
      <c r="H49" s="133"/>
      <c r="I49" s="133"/>
      <c r="J49" s="133"/>
      <c r="K49" s="134"/>
      <c r="L49" s="8"/>
    </row>
    <row r="50" spans="1:16" s="1" customFormat="1" ht="15.75" customHeight="1">
      <c r="A50" s="189" t="s">
        <v>492</v>
      </c>
      <c r="B50" s="190" t="s">
        <v>678</v>
      </c>
      <c r="C50" s="191">
        <f>SUM(C51:C53)</f>
        <v>6000</v>
      </c>
      <c r="D50" s="191">
        <f t="shared" ref="D50:F50" si="12">SUM(D51:D53)</f>
        <v>0</v>
      </c>
      <c r="E50" s="191">
        <f t="shared" si="12"/>
        <v>0</v>
      </c>
      <c r="F50" s="191">
        <f t="shared" si="12"/>
        <v>6000</v>
      </c>
      <c r="G50" s="192"/>
      <c r="H50" s="192"/>
      <c r="I50" s="192"/>
      <c r="J50" s="192"/>
      <c r="K50" s="201"/>
      <c r="L50" s="8"/>
      <c r="O50" s="1">
        <f>4*5.5*1.1</f>
        <v>24.200000000000003</v>
      </c>
    </row>
    <row r="51" spans="1:16" s="1" customFormat="1" ht="56.25" customHeight="1">
      <c r="A51" s="99">
        <v>1</v>
      </c>
      <c r="B51" s="100" t="s">
        <v>536</v>
      </c>
      <c r="C51" s="101">
        <f t="shared" ref="C51:C52" si="13">D51+E51+F51</f>
        <v>2500</v>
      </c>
      <c r="D51" s="102"/>
      <c r="E51" s="102"/>
      <c r="F51" s="102">
        <v>2500</v>
      </c>
      <c r="G51" s="99"/>
      <c r="H51" s="133">
        <v>2028</v>
      </c>
      <c r="I51" s="133">
        <v>2028</v>
      </c>
      <c r="J51" s="133">
        <v>2028</v>
      </c>
      <c r="K51" s="99"/>
      <c r="N51" s="1">
        <v>3.5</v>
      </c>
      <c r="O51" s="1">
        <v>0.4</v>
      </c>
      <c r="P51" s="1">
        <f>O29*N51*O51</f>
        <v>0</v>
      </c>
    </row>
    <row r="52" spans="1:16" s="1" customFormat="1" ht="56.25" customHeight="1">
      <c r="A52" s="99"/>
      <c r="B52" s="100" t="s">
        <v>540</v>
      </c>
      <c r="C52" s="101">
        <f t="shared" si="13"/>
        <v>3500</v>
      </c>
      <c r="D52" s="102"/>
      <c r="E52" s="102"/>
      <c r="F52" s="102">
        <v>3500</v>
      </c>
      <c r="G52" s="99"/>
      <c r="H52" s="133">
        <v>2028</v>
      </c>
      <c r="I52" s="133">
        <v>2028</v>
      </c>
      <c r="J52" s="133">
        <v>2028</v>
      </c>
      <c r="K52" s="99" t="s">
        <v>695</v>
      </c>
    </row>
    <row r="53" spans="1:16" s="1" customFormat="1">
      <c r="A53" s="99"/>
      <c r="B53" s="186"/>
      <c r="C53" s="101"/>
      <c r="D53" s="194"/>
      <c r="E53" s="194"/>
      <c r="F53" s="194"/>
      <c r="G53" s="99"/>
      <c r="H53" s="195"/>
      <c r="I53" s="195"/>
      <c r="J53" s="195"/>
      <c r="K53" s="99"/>
    </row>
    <row r="54" spans="1:16" s="31" customFormat="1" ht="15">
      <c r="A54" s="89"/>
      <c r="B54" s="90" t="s">
        <v>696</v>
      </c>
      <c r="C54" s="91">
        <f>C55+C63+C67</f>
        <v>81000</v>
      </c>
      <c r="D54" s="91">
        <f t="shared" ref="D54:F54" si="14">D55+D63+D67</f>
        <v>42000</v>
      </c>
      <c r="E54" s="91">
        <f t="shared" si="14"/>
        <v>31500</v>
      </c>
      <c r="F54" s="91">
        <f t="shared" si="14"/>
        <v>7500</v>
      </c>
      <c r="G54" s="93"/>
      <c r="H54" s="127"/>
      <c r="I54" s="127"/>
      <c r="J54" s="127"/>
      <c r="K54" s="89"/>
      <c r="L54" s="163">
        <f>D54+E54+F54</f>
        <v>81000</v>
      </c>
    </row>
    <row r="55" spans="1:16" s="1" customFormat="1" ht="15.75" customHeight="1">
      <c r="A55" s="128" t="s">
        <v>218</v>
      </c>
      <c r="B55" s="129" t="s">
        <v>461</v>
      </c>
      <c r="C55" s="130">
        <f>SUM(C56:C62)</f>
        <v>46000</v>
      </c>
      <c r="D55" s="130">
        <f t="shared" ref="D55:F55" si="15">SUM(D56:D62)</f>
        <v>42000</v>
      </c>
      <c r="E55" s="130">
        <f t="shared" si="15"/>
        <v>0</v>
      </c>
      <c r="F55" s="130">
        <f t="shared" si="15"/>
        <v>4000</v>
      </c>
      <c r="G55" s="187"/>
      <c r="H55" s="132"/>
      <c r="I55" s="132"/>
      <c r="J55" s="132"/>
      <c r="K55" s="198"/>
      <c r="L55" s="8"/>
    </row>
    <row r="56" spans="1:16" s="1" customFormat="1">
      <c r="A56" s="99">
        <v>1</v>
      </c>
      <c r="B56" s="100"/>
      <c r="C56" s="101">
        <f t="shared" ref="C56:C62" si="16">D56+E56+F56</f>
        <v>0</v>
      </c>
      <c r="D56" s="102"/>
      <c r="E56" s="102"/>
      <c r="F56" s="102"/>
      <c r="G56" s="188"/>
      <c r="H56" s="133"/>
      <c r="I56" s="133"/>
      <c r="J56" s="133"/>
      <c r="K56" s="202" t="s">
        <v>172</v>
      </c>
      <c r="L56" s="8"/>
      <c r="N56" s="1">
        <v>3.5</v>
      </c>
      <c r="O56" s="1">
        <v>0.4</v>
      </c>
      <c r="P56" s="1">
        <f>O37*N56*O56</f>
        <v>0.56000000000000005</v>
      </c>
    </row>
    <row r="57" spans="1:16" s="1" customFormat="1">
      <c r="A57" s="134">
        <v>2</v>
      </c>
      <c r="B57" s="134"/>
      <c r="C57" s="101">
        <f t="shared" si="16"/>
        <v>0</v>
      </c>
      <c r="D57" s="107"/>
      <c r="E57" s="107"/>
      <c r="F57" s="107"/>
      <c r="G57" s="133"/>
      <c r="H57" s="133"/>
      <c r="I57" s="133"/>
      <c r="J57" s="133"/>
      <c r="K57" s="134"/>
      <c r="L57" s="8"/>
      <c r="N57" s="1">
        <f>2.2*5.5*1.1</f>
        <v>13.310000000000002</v>
      </c>
    </row>
    <row r="58" spans="1:16" s="1" customFormat="1" ht="31">
      <c r="A58" s="134">
        <v>3</v>
      </c>
      <c r="B58" s="100" t="s">
        <v>480</v>
      </c>
      <c r="C58" s="101">
        <f t="shared" si="16"/>
        <v>19000</v>
      </c>
      <c r="D58" s="107">
        <v>19000</v>
      </c>
      <c r="E58" s="107"/>
      <c r="F58" s="107"/>
      <c r="G58" s="133" t="s">
        <v>697</v>
      </c>
      <c r="H58" s="133">
        <v>2029</v>
      </c>
      <c r="I58" s="133">
        <v>2029</v>
      </c>
      <c r="J58" s="133">
        <v>2030</v>
      </c>
      <c r="K58" s="134"/>
    </row>
    <row r="59" spans="1:16" s="1" customFormat="1" ht="28">
      <c r="A59" s="134"/>
      <c r="B59" s="100" t="s">
        <v>482</v>
      </c>
      <c r="C59" s="101">
        <f t="shared" si="16"/>
        <v>15000</v>
      </c>
      <c r="D59" s="102">
        <v>15000</v>
      </c>
      <c r="E59" s="107"/>
      <c r="F59" s="107"/>
      <c r="G59" s="133" t="s">
        <v>698</v>
      </c>
      <c r="H59" s="133">
        <v>2029</v>
      </c>
      <c r="I59" s="133">
        <v>2029</v>
      </c>
      <c r="J59" s="133">
        <v>2029</v>
      </c>
      <c r="K59" s="134"/>
      <c r="N59" s="1">
        <f>2.5*5.5*1.1</f>
        <v>15.125000000000002</v>
      </c>
    </row>
    <row r="60" spans="1:16" s="1" customFormat="1" ht="28">
      <c r="A60" s="134"/>
      <c r="B60" s="100" t="s">
        <v>484</v>
      </c>
      <c r="C60" s="101">
        <f t="shared" si="16"/>
        <v>8000</v>
      </c>
      <c r="D60" s="121">
        <v>8000</v>
      </c>
      <c r="E60" s="107"/>
      <c r="F60" s="107"/>
      <c r="G60" s="133" t="s">
        <v>699</v>
      </c>
      <c r="H60" s="133">
        <v>2029</v>
      </c>
      <c r="I60" s="133">
        <v>2029</v>
      </c>
      <c r="J60" s="133">
        <v>2029</v>
      </c>
      <c r="K60" s="134"/>
      <c r="N60" s="1">
        <f>1.7*5.5*1.1</f>
        <v>10.285</v>
      </c>
    </row>
    <row r="61" spans="1:16" s="1" customFormat="1">
      <c r="A61" s="99">
        <v>4</v>
      </c>
      <c r="B61" s="100" t="s">
        <v>671</v>
      </c>
      <c r="C61" s="101">
        <f t="shared" si="16"/>
        <v>4000</v>
      </c>
      <c r="D61" s="102"/>
      <c r="E61" s="102"/>
      <c r="F61" s="102">
        <v>4000</v>
      </c>
      <c r="G61" s="103" t="s">
        <v>687</v>
      </c>
      <c r="H61" s="133">
        <v>2029</v>
      </c>
      <c r="I61" s="133">
        <v>2029</v>
      </c>
      <c r="J61" s="133">
        <v>2029</v>
      </c>
      <c r="K61" s="99"/>
      <c r="L61" s="8"/>
      <c r="N61" s="8"/>
      <c r="O61" s="8"/>
      <c r="P61" s="8">
        <f>1*1.1*5.5</f>
        <v>6.0500000000000007</v>
      </c>
    </row>
    <row r="62" spans="1:16" s="1" customFormat="1">
      <c r="A62" s="134"/>
      <c r="B62" s="134"/>
      <c r="C62" s="101">
        <f t="shared" si="16"/>
        <v>0</v>
      </c>
      <c r="D62" s="107"/>
      <c r="E62" s="107"/>
      <c r="F62" s="107"/>
      <c r="G62" s="133"/>
      <c r="H62" s="133"/>
      <c r="I62" s="133"/>
      <c r="J62" s="133"/>
      <c r="K62" s="134"/>
      <c r="L62" s="8"/>
    </row>
    <row r="63" spans="1:16" s="1" customFormat="1" ht="15.75" customHeight="1">
      <c r="A63" s="94" t="s">
        <v>486</v>
      </c>
      <c r="B63" s="95" t="s">
        <v>673</v>
      </c>
      <c r="C63" s="96">
        <f>SUM(C64:C66)</f>
        <v>31500</v>
      </c>
      <c r="D63" s="96">
        <f t="shared" ref="D63:F63" si="17">SUM(D64:D66)</f>
        <v>0</v>
      </c>
      <c r="E63" s="96">
        <f t="shared" si="17"/>
        <v>31500</v>
      </c>
      <c r="F63" s="96">
        <f t="shared" si="17"/>
        <v>0</v>
      </c>
      <c r="G63" s="98"/>
      <c r="H63" s="98"/>
      <c r="I63" s="98"/>
      <c r="J63" s="98"/>
      <c r="K63" s="197"/>
      <c r="L63" s="8"/>
      <c r="N63" s="1">
        <f>150*2*3</f>
        <v>900</v>
      </c>
    </row>
    <row r="64" spans="1:16" s="1" customFormat="1" ht="31">
      <c r="A64" s="134"/>
      <c r="B64" s="100" t="s">
        <v>508</v>
      </c>
      <c r="C64" s="101">
        <f t="shared" ref="C64" si="18">D64+E64+F64</f>
        <v>12500</v>
      </c>
      <c r="D64" s="107"/>
      <c r="E64" s="107">
        <v>12500</v>
      </c>
      <c r="F64" s="107"/>
      <c r="G64" s="134"/>
      <c r="H64" s="133">
        <v>2029</v>
      </c>
      <c r="I64" s="133">
        <v>2029</v>
      </c>
      <c r="J64" s="133">
        <v>2029</v>
      </c>
      <c r="K64" s="134"/>
    </row>
    <row r="65" spans="1:20" s="1" customFormat="1" ht="31">
      <c r="A65" s="134"/>
      <c r="B65" s="100" t="s">
        <v>700</v>
      </c>
      <c r="C65" s="101">
        <f t="shared" ref="C65:C66" si="19">D65+E65+F65</f>
        <v>19000</v>
      </c>
      <c r="D65" s="107"/>
      <c r="E65" s="107">
        <v>19000</v>
      </c>
      <c r="F65" s="107"/>
      <c r="G65" s="134"/>
      <c r="H65" s="133">
        <v>2029</v>
      </c>
      <c r="I65" s="133">
        <v>2029</v>
      </c>
      <c r="J65" s="133">
        <v>2030</v>
      </c>
      <c r="K65" s="134"/>
    </row>
    <row r="66" spans="1:20" s="1" customFormat="1">
      <c r="A66" s="134"/>
      <c r="B66" s="134"/>
      <c r="C66" s="101">
        <f t="shared" si="19"/>
        <v>0</v>
      </c>
      <c r="D66" s="107"/>
      <c r="E66" s="107"/>
      <c r="F66" s="107"/>
      <c r="G66" s="134"/>
      <c r="H66" s="134"/>
      <c r="I66" s="134"/>
      <c r="J66" s="134"/>
      <c r="K66" s="134"/>
      <c r="L66" s="8"/>
    </row>
    <row r="67" spans="1:20" s="1" customFormat="1" ht="15.75" customHeight="1">
      <c r="A67" s="189" t="s">
        <v>492</v>
      </c>
      <c r="B67" s="190" t="s">
        <v>678</v>
      </c>
      <c r="C67" s="191">
        <f>SUM(C68:C69)</f>
        <v>3500</v>
      </c>
      <c r="D67" s="191">
        <f t="shared" ref="D67" si="20">SUM(D68:D69)</f>
        <v>0</v>
      </c>
      <c r="E67" s="191">
        <f t="shared" ref="E67" si="21">SUM(E68:E69)</f>
        <v>0</v>
      </c>
      <c r="F67" s="191">
        <f t="shared" ref="F67" si="22">SUM(F68:F69)</f>
        <v>3500</v>
      </c>
      <c r="G67" s="192"/>
      <c r="H67" s="192"/>
      <c r="I67" s="192"/>
      <c r="J67" s="192"/>
      <c r="K67" s="201"/>
      <c r="L67" s="8"/>
      <c r="O67" s="1">
        <f>4*5.5*1.1</f>
        <v>24.200000000000003</v>
      </c>
    </row>
    <row r="68" spans="1:20" s="1" customFormat="1" ht="56.25" customHeight="1">
      <c r="A68" s="99"/>
      <c r="B68" s="100" t="s">
        <v>538</v>
      </c>
      <c r="C68" s="101">
        <f t="shared" ref="C68:C69" si="23">D68+E68+F68</f>
        <v>3500</v>
      </c>
      <c r="D68" s="102"/>
      <c r="E68" s="102"/>
      <c r="F68" s="102">
        <v>3500</v>
      </c>
      <c r="G68" s="99"/>
      <c r="H68" s="133">
        <v>2029</v>
      </c>
      <c r="I68" s="133">
        <v>2029</v>
      </c>
      <c r="J68" s="133">
        <v>2029</v>
      </c>
      <c r="K68" s="99"/>
      <c r="N68" s="1">
        <v>3.5</v>
      </c>
      <c r="O68" s="1">
        <v>0.4</v>
      </c>
      <c r="P68" s="1">
        <f>O42*N68*O68</f>
        <v>0</v>
      </c>
    </row>
    <row r="69" spans="1:20" s="1" customFormat="1" ht="56.25" customHeight="1">
      <c r="A69" s="99"/>
      <c r="B69" s="100"/>
      <c r="C69" s="101">
        <f t="shared" si="23"/>
        <v>0</v>
      </c>
      <c r="D69" s="102"/>
      <c r="E69" s="102"/>
      <c r="F69" s="102"/>
      <c r="G69" s="99"/>
      <c r="H69" s="99"/>
      <c r="I69" s="99"/>
      <c r="J69" s="99"/>
      <c r="K69" s="99"/>
      <c r="L69" s="8"/>
    </row>
    <row r="70" spans="1:20" s="31" customFormat="1" ht="15">
      <c r="A70" s="89"/>
      <c r="B70" s="90" t="s">
        <v>701</v>
      </c>
      <c r="C70" s="91">
        <f>C71+C79+C83</f>
        <v>38500</v>
      </c>
      <c r="D70" s="91">
        <f t="shared" ref="D70:F70" si="24">D71+D79+D83</f>
        <v>0</v>
      </c>
      <c r="E70" s="91">
        <f t="shared" si="24"/>
        <v>32000</v>
      </c>
      <c r="F70" s="91">
        <f t="shared" si="24"/>
        <v>6500</v>
      </c>
      <c r="G70" s="93"/>
      <c r="H70" s="127"/>
      <c r="I70" s="127"/>
      <c r="J70" s="127"/>
      <c r="K70" s="89"/>
      <c r="L70" s="163">
        <f>D70+E70+F70</f>
        <v>38500</v>
      </c>
    </row>
    <row r="71" spans="1:20" s="1" customFormat="1" ht="15.75" customHeight="1">
      <c r="A71" s="128" t="s">
        <v>218</v>
      </c>
      <c r="B71" s="129" t="s">
        <v>461</v>
      </c>
      <c r="C71" s="130">
        <f>SUM(C72:C78)</f>
        <v>3000</v>
      </c>
      <c r="D71" s="130">
        <f t="shared" ref="D71:F71" si="25">SUM(D72:D78)</f>
        <v>0</v>
      </c>
      <c r="E71" s="130">
        <f t="shared" si="25"/>
        <v>0</v>
      </c>
      <c r="F71" s="130">
        <f t="shared" si="25"/>
        <v>3000</v>
      </c>
      <c r="G71" s="187"/>
      <c r="H71" s="132"/>
      <c r="I71" s="132"/>
      <c r="J71" s="132"/>
      <c r="K71" s="198"/>
      <c r="L71" s="8"/>
    </row>
    <row r="72" spans="1:20" s="1" customFormat="1">
      <c r="A72" s="134"/>
      <c r="B72" s="15"/>
      <c r="C72" s="101"/>
      <c r="D72" s="107"/>
      <c r="E72" s="107"/>
      <c r="F72" s="107"/>
      <c r="G72" s="203"/>
      <c r="H72" s="204"/>
      <c r="I72" s="204"/>
      <c r="J72" s="204"/>
      <c r="K72" s="205"/>
      <c r="L72" s="8"/>
    </row>
    <row r="73" spans="1:20" s="1" customFormat="1">
      <c r="A73" s="134">
        <v>2</v>
      </c>
      <c r="B73" s="134"/>
      <c r="C73" s="101">
        <f t="shared" ref="C73:C77" si="26">D73+E73+F73</f>
        <v>0</v>
      </c>
      <c r="D73" s="107"/>
      <c r="E73" s="107"/>
      <c r="F73" s="107"/>
      <c r="G73" s="133"/>
      <c r="H73" s="133"/>
      <c r="I73" s="133"/>
      <c r="J73" s="133"/>
      <c r="K73" s="134"/>
      <c r="L73" s="8"/>
      <c r="N73" s="1">
        <f>2.2*5.5*1.1</f>
        <v>13.310000000000002</v>
      </c>
    </row>
    <row r="74" spans="1:20" s="1" customFormat="1">
      <c r="A74" s="134">
        <v>3</v>
      </c>
      <c r="B74" s="100"/>
      <c r="C74" s="101">
        <f t="shared" si="26"/>
        <v>0</v>
      </c>
      <c r="D74" s="107"/>
      <c r="E74" s="107"/>
      <c r="F74" s="107"/>
      <c r="G74" s="133"/>
      <c r="H74" s="133"/>
      <c r="I74" s="133"/>
      <c r="J74" s="133"/>
      <c r="K74" s="134"/>
    </row>
    <row r="75" spans="1:20" s="1" customFormat="1">
      <c r="A75" s="134"/>
      <c r="B75" s="100"/>
      <c r="C75" s="101">
        <f t="shared" si="26"/>
        <v>0</v>
      </c>
      <c r="D75" s="102"/>
      <c r="E75" s="107"/>
      <c r="F75" s="107"/>
      <c r="G75" s="133"/>
      <c r="H75" s="133"/>
      <c r="I75" s="133"/>
      <c r="J75" s="133"/>
      <c r="K75" s="134"/>
      <c r="N75" s="1">
        <f>2.5*5.5*1.1</f>
        <v>15.125000000000002</v>
      </c>
    </row>
    <row r="76" spans="1:20" s="1" customFormat="1">
      <c r="A76" s="134"/>
      <c r="B76" s="100"/>
      <c r="C76" s="101">
        <f t="shared" si="26"/>
        <v>0</v>
      </c>
      <c r="D76" s="121"/>
      <c r="E76" s="107"/>
      <c r="F76" s="107"/>
      <c r="G76" s="133"/>
      <c r="H76" s="133"/>
      <c r="I76" s="133"/>
      <c r="J76" s="133"/>
      <c r="K76" s="134"/>
      <c r="N76" s="1">
        <f>1.7*5.5*1.1</f>
        <v>10.285</v>
      </c>
    </row>
    <row r="77" spans="1:20" s="1" customFormat="1">
      <c r="A77" s="99">
        <v>4</v>
      </c>
      <c r="B77" s="100" t="s">
        <v>671</v>
      </c>
      <c r="C77" s="101">
        <f t="shared" si="26"/>
        <v>3000</v>
      </c>
      <c r="D77" s="102"/>
      <c r="E77" s="102"/>
      <c r="F77" s="102">
        <v>3000</v>
      </c>
      <c r="G77" s="103" t="s">
        <v>702</v>
      </c>
      <c r="H77" s="103"/>
      <c r="I77" s="103"/>
      <c r="J77" s="103"/>
      <c r="K77" s="99"/>
      <c r="L77" s="8"/>
      <c r="N77" s="8"/>
      <c r="O77" s="8"/>
      <c r="P77" s="8">
        <f>1*1.1*5.5</f>
        <v>6.0500000000000007</v>
      </c>
    </row>
    <row r="78" spans="1:20" s="1" customFormat="1">
      <c r="A78" s="134"/>
      <c r="B78" s="134"/>
      <c r="C78" s="101">
        <f t="shared" ref="C78" si="27">D78+E78+F78</f>
        <v>0</v>
      </c>
      <c r="D78" s="107"/>
      <c r="E78" s="107"/>
      <c r="F78" s="107"/>
      <c r="G78" s="133"/>
      <c r="H78" s="133"/>
      <c r="I78" s="133"/>
      <c r="J78" s="133"/>
      <c r="K78" s="134"/>
      <c r="L78" s="8"/>
    </row>
    <row r="79" spans="1:20" s="1" customFormat="1" ht="15.75" customHeight="1">
      <c r="A79" s="94" t="s">
        <v>486</v>
      </c>
      <c r="B79" s="95" t="s">
        <v>673</v>
      </c>
      <c r="C79" s="96">
        <f>SUM(C80:C82)</f>
        <v>32000</v>
      </c>
      <c r="D79" s="96">
        <f t="shared" ref="D79:F79" si="28">SUM(D80:D82)</f>
        <v>0</v>
      </c>
      <c r="E79" s="96">
        <f t="shared" si="28"/>
        <v>32000</v>
      </c>
      <c r="F79" s="96">
        <f t="shared" si="28"/>
        <v>0</v>
      </c>
      <c r="G79" s="98"/>
      <c r="H79" s="98"/>
      <c r="I79" s="98"/>
      <c r="J79" s="98"/>
      <c r="K79" s="197"/>
      <c r="L79" s="8"/>
      <c r="N79" s="1">
        <f>150*2*3</f>
        <v>900</v>
      </c>
    </row>
    <row r="80" spans="1:20" s="1" customFormat="1" ht="31">
      <c r="A80" s="134"/>
      <c r="B80" s="15" t="s">
        <v>703</v>
      </c>
      <c r="C80" s="101">
        <f t="shared" ref="C80" si="29">D80+E80+F80</f>
        <v>32000</v>
      </c>
      <c r="D80" s="107"/>
      <c r="E80" s="107">
        <v>32000</v>
      </c>
      <c r="F80" s="107"/>
      <c r="G80" s="203" t="s">
        <v>527</v>
      </c>
      <c r="H80" s="133">
        <v>2030</v>
      </c>
      <c r="I80" s="133">
        <v>2030</v>
      </c>
      <c r="J80" s="133">
        <v>2030</v>
      </c>
      <c r="K80" s="205"/>
      <c r="L80" s="8"/>
      <c r="T80" s="1">
        <f>7*300*15</f>
        <v>31500</v>
      </c>
    </row>
    <row r="81" spans="1:16" s="1" customFormat="1">
      <c r="A81" s="134"/>
      <c r="B81" s="134"/>
      <c r="C81" s="101">
        <f t="shared" ref="C81:C82" si="30">D81+E81+F81</f>
        <v>0</v>
      </c>
      <c r="D81" s="107"/>
      <c r="E81" s="107"/>
      <c r="F81" s="107"/>
      <c r="G81" s="134"/>
      <c r="H81" s="134"/>
      <c r="I81" s="134"/>
      <c r="J81" s="134"/>
      <c r="K81" s="134"/>
      <c r="L81" s="8"/>
    </row>
    <row r="82" spans="1:16" s="1" customFormat="1">
      <c r="A82" s="134"/>
      <c r="B82" s="134"/>
      <c r="C82" s="101">
        <f t="shared" si="30"/>
        <v>0</v>
      </c>
      <c r="D82" s="107"/>
      <c r="E82" s="107"/>
      <c r="F82" s="107"/>
      <c r="G82" s="134"/>
      <c r="H82" s="134"/>
      <c r="I82" s="134"/>
      <c r="J82" s="134"/>
      <c r="K82" s="134"/>
      <c r="L82" s="8"/>
    </row>
    <row r="83" spans="1:16" s="1" customFormat="1" ht="15.75" customHeight="1">
      <c r="A83" s="189" t="s">
        <v>492</v>
      </c>
      <c r="B83" s="190" t="s">
        <v>678</v>
      </c>
      <c r="C83" s="191">
        <f>SUM(C84:C85)</f>
        <v>3500</v>
      </c>
      <c r="D83" s="191">
        <f t="shared" ref="D83" si="31">SUM(D84:D85)</f>
        <v>0</v>
      </c>
      <c r="E83" s="191">
        <f t="shared" ref="E83" si="32">SUM(E84:E85)</f>
        <v>0</v>
      </c>
      <c r="F83" s="191">
        <f t="shared" ref="F83" si="33">SUM(F84:F85)</f>
        <v>3500</v>
      </c>
      <c r="G83" s="192"/>
      <c r="H83" s="192"/>
      <c r="I83" s="192"/>
      <c r="J83" s="192"/>
      <c r="K83" s="201"/>
      <c r="L83" s="8"/>
      <c r="O83" s="1">
        <f>4*5.5*1.1</f>
        <v>24.200000000000003</v>
      </c>
    </row>
    <row r="84" spans="1:16" s="1" customFormat="1" ht="56.25" customHeight="1">
      <c r="A84" s="99">
        <v>1</v>
      </c>
      <c r="B84" s="100" t="s">
        <v>539</v>
      </c>
      <c r="C84" s="101">
        <f t="shared" ref="C84:C85" si="34">D84+E84+F84</f>
        <v>1500</v>
      </c>
      <c r="D84" s="102"/>
      <c r="E84" s="102"/>
      <c r="F84" s="102">
        <v>1500</v>
      </c>
      <c r="G84" s="99"/>
      <c r="H84" s="133">
        <v>2030</v>
      </c>
      <c r="I84" s="133">
        <v>2030</v>
      </c>
      <c r="J84" s="133">
        <v>2030</v>
      </c>
      <c r="K84" s="99"/>
      <c r="N84" s="1">
        <v>3.5</v>
      </c>
      <c r="O84" s="1">
        <v>0.4</v>
      </c>
      <c r="P84" s="1">
        <f>O59*N84*O84</f>
        <v>0</v>
      </c>
    </row>
    <row r="85" spans="1:16" s="1" customFormat="1" ht="56.25" customHeight="1">
      <c r="A85" s="99">
        <v>2</v>
      </c>
      <c r="B85" s="100" t="s">
        <v>540</v>
      </c>
      <c r="C85" s="101">
        <f t="shared" si="34"/>
        <v>2000</v>
      </c>
      <c r="D85" s="102"/>
      <c r="E85" s="102"/>
      <c r="F85" s="102">
        <v>2000</v>
      </c>
      <c r="G85" s="99"/>
      <c r="H85" s="133">
        <v>2030</v>
      </c>
      <c r="I85" s="133">
        <v>2030</v>
      </c>
      <c r="J85" s="133">
        <v>2030</v>
      </c>
      <c r="K85" s="99" t="s">
        <v>695</v>
      </c>
    </row>
    <row r="86" spans="1:16" ht="87" customHeight="1">
      <c r="G86" s="3"/>
      <c r="H86" s="3"/>
      <c r="I86" s="3"/>
      <c r="J86" s="3"/>
    </row>
  </sheetData>
  <mergeCells count="14">
    <mergeCell ref="A1:K1"/>
    <mergeCell ref="A2:K2"/>
    <mergeCell ref="A3:K3"/>
    <mergeCell ref="C4:F4"/>
    <mergeCell ref="I4:J4"/>
    <mergeCell ref="H4:H6"/>
    <mergeCell ref="I5:I6"/>
    <mergeCell ref="J5:J6"/>
    <mergeCell ref="K4:K6"/>
    <mergeCell ref="D5:F5"/>
    <mergeCell ref="A4:A6"/>
    <mergeCell ref="B4:B6"/>
    <mergeCell ref="C5:C6"/>
    <mergeCell ref="G4:G6"/>
  </mergeCells>
  <pageMargins left="0.28999999999999998" right="0.22" top="0.75" bottom="0.75" header="0.3" footer="0.3"/>
  <pageSetup paperSize="9" orientation="landscape"/>
  <colBreaks count="1" manualBreakCount="1">
    <brk id="11"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V89"/>
  <sheetViews>
    <sheetView topLeftCell="A52" workbookViewId="0">
      <selection activeCell="E89" sqref="E89"/>
    </sheetView>
  </sheetViews>
  <sheetFormatPr defaultColWidth="9.1796875" defaultRowHeight="15.5"/>
  <cols>
    <col min="1" max="1" width="4.26953125" style="3" customWidth="1"/>
    <col min="2" max="2" width="57.1796875" style="4" customWidth="1"/>
    <col min="3" max="3" width="10.81640625" style="8" customWidth="1"/>
    <col min="4" max="4" width="9.54296875" style="8" customWidth="1"/>
    <col min="5" max="5" width="9.453125" style="8" customWidth="1"/>
    <col min="6" max="6" width="9.1796875" style="8"/>
    <col min="7" max="7" width="31.1796875" style="5" customWidth="1"/>
    <col min="8" max="8" width="10.54296875" style="8" customWidth="1"/>
    <col min="9" max="9" width="11.1796875" style="8" customWidth="1"/>
    <col min="10" max="10" width="9.81640625" style="8" customWidth="1"/>
    <col min="11" max="11" width="13.7265625" style="6" customWidth="1"/>
    <col min="12" max="12" width="10.54296875" style="8" customWidth="1"/>
    <col min="13" max="13" width="6.54296875" style="8" customWidth="1"/>
    <col min="14" max="18" width="9.1796875" style="8"/>
    <col min="19" max="19" width="10.26953125" style="8" customWidth="1"/>
    <col min="20" max="21" width="9.1796875" style="8"/>
    <col min="22" max="22" width="34.81640625" style="8" customWidth="1"/>
    <col min="23" max="16384" width="9.1796875" style="8"/>
  </cols>
  <sheetData>
    <row r="1" spans="1:22" ht="23.5">
      <c r="A1" s="566"/>
      <c r="B1" s="567"/>
      <c r="C1" s="567"/>
      <c r="D1" s="567"/>
      <c r="E1" s="567"/>
      <c r="F1" s="567"/>
      <c r="G1" s="567"/>
      <c r="H1" s="567"/>
      <c r="I1" s="567"/>
      <c r="J1" s="567"/>
      <c r="K1" s="568"/>
    </row>
    <row r="2" spans="1:22" s="1" customFormat="1" ht="18.5">
      <c r="A2" s="594" t="s">
        <v>651</v>
      </c>
      <c r="B2" s="595"/>
      <c r="C2" s="595"/>
      <c r="D2" s="595"/>
      <c r="E2" s="595"/>
      <c r="F2" s="595"/>
      <c r="G2" s="595"/>
      <c r="H2" s="595"/>
      <c r="I2" s="595"/>
      <c r="J2" s="595"/>
      <c r="K2" s="596"/>
    </row>
    <row r="3" spans="1:22" s="1" customFormat="1">
      <c r="A3" s="597" t="s">
        <v>2</v>
      </c>
      <c r="B3" s="598"/>
      <c r="C3" s="598"/>
      <c r="D3" s="598"/>
      <c r="E3" s="598"/>
      <c r="F3" s="598"/>
      <c r="G3" s="598"/>
      <c r="H3" s="598"/>
      <c r="I3" s="599"/>
      <c r="J3" s="599"/>
      <c r="K3" s="600"/>
    </row>
    <row r="4" spans="1:22" s="2" customFormat="1">
      <c r="A4" s="601" t="s">
        <v>652</v>
      </c>
      <c r="B4" s="608" t="s">
        <v>7</v>
      </c>
      <c r="C4" s="601" t="s">
        <v>653</v>
      </c>
      <c r="D4" s="601"/>
      <c r="E4" s="601"/>
      <c r="F4" s="601"/>
      <c r="G4" s="609" t="s">
        <v>25</v>
      </c>
      <c r="H4" s="603" t="s">
        <v>654</v>
      </c>
      <c r="I4" s="602" t="s">
        <v>628</v>
      </c>
      <c r="J4" s="602"/>
      <c r="K4" s="606" t="s">
        <v>14</v>
      </c>
    </row>
    <row r="5" spans="1:22" s="2" customFormat="1" ht="29.25" customHeight="1">
      <c r="A5" s="601"/>
      <c r="B5" s="608"/>
      <c r="C5" s="608" t="s">
        <v>23</v>
      </c>
      <c r="D5" s="607" t="s">
        <v>655</v>
      </c>
      <c r="E5" s="607"/>
      <c r="F5" s="607"/>
      <c r="G5" s="610"/>
      <c r="H5" s="604"/>
      <c r="I5" s="602" t="s">
        <v>40</v>
      </c>
      <c r="J5" s="602" t="s">
        <v>41</v>
      </c>
      <c r="K5" s="606"/>
    </row>
    <row r="6" spans="1:22" s="2" customFormat="1">
      <c r="A6" s="601"/>
      <c r="B6" s="608"/>
      <c r="C6" s="608"/>
      <c r="D6" s="82" t="s">
        <v>656</v>
      </c>
      <c r="E6" s="82" t="s">
        <v>657</v>
      </c>
      <c r="F6" s="82" t="s">
        <v>294</v>
      </c>
      <c r="G6" s="611"/>
      <c r="H6" s="605"/>
      <c r="I6" s="602"/>
      <c r="J6" s="602"/>
      <c r="K6" s="606"/>
    </row>
    <row r="7" spans="1:22" s="1" customFormat="1">
      <c r="A7" s="83">
        <v>1</v>
      </c>
      <c r="B7" s="84">
        <v>2</v>
      </c>
      <c r="C7" s="83" t="s">
        <v>658</v>
      </c>
      <c r="D7" s="83">
        <v>4</v>
      </c>
      <c r="E7" s="83">
        <v>5</v>
      </c>
      <c r="F7" s="83">
        <v>6</v>
      </c>
      <c r="G7" s="83">
        <v>7</v>
      </c>
      <c r="H7" s="83">
        <v>8</v>
      </c>
      <c r="I7" s="161">
        <v>9</v>
      </c>
      <c r="J7" s="161">
        <v>10</v>
      </c>
      <c r="K7" s="83">
        <v>11</v>
      </c>
      <c r="R7" s="1" t="s">
        <v>659</v>
      </c>
      <c r="S7" s="1" t="s">
        <v>660</v>
      </c>
    </row>
    <row r="8" spans="1:22" s="31" customFormat="1" ht="15">
      <c r="A8" s="85"/>
      <c r="B8" s="86" t="s">
        <v>704</v>
      </c>
      <c r="C8" s="87">
        <f>C9+C26+C42+C57+C74</f>
        <v>546700</v>
      </c>
      <c r="D8" s="87">
        <f>D9+D26+D42+D57+D74</f>
        <v>300500</v>
      </c>
      <c r="E8" s="87">
        <f>E9+E26+E42+E57+E74</f>
        <v>194000</v>
      </c>
      <c r="F8" s="87">
        <f>F9+F26+F42+F57+F74</f>
        <v>52200</v>
      </c>
      <c r="G8" s="88"/>
      <c r="H8" s="86"/>
      <c r="I8" s="86"/>
      <c r="J8" s="86"/>
      <c r="K8" s="162"/>
      <c r="L8" s="163">
        <f>D8+E8+F8</f>
        <v>546700</v>
      </c>
    </row>
    <row r="9" spans="1:22" s="31" customFormat="1" ht="15">
      <c r="A9" s="89" t="s">
        <v>61</v>
      </c>
      <c r="B9" s="90" t="s">
        <v>661</v>
      </c>
      <c r="C9" s="91">
        <f>C10+C18+C23</f>
        <v>85200</v>
      </c>
      <c r="D9" s="91">
        <f>D10+D18+D38</f>
        <v>35500</v>
      </c>
      <c r="E9" s="91">
        <f>E10+E18+E23</f>
        <v>26500</v>
      </c>
      <c r="F9" s="91">
        <f>F10+F18+F23</f>
        <v>23200</v>
      </c>
      <c r="G9" s="92"/>
      <c r="H9" s="93"/>
      <c r="I9" s="93"/>
      <c r="J9" s="93"/>
      <c r="K9" s="164"/>
      <c r="L9" s="163">
        <f>D9+E9+F9</f>
        <v>85200</v>
      </c>
    </row>
    <row r="10" spans="1:22" s="1" customFormat="1" ht="15.75" customHeight="1">
      <c r="A10" s="94" t="s">
        <v>218</v>
      </c>
      <c r="B10" s="95" t="s">
        <v>461</v>
      </c>
      <c r="C10" s="96">
        <f>SUM(C11:C17)</f>
        <v>54500</v>
      </c>
      <c r="D10" s="96">
        <f t="shared" ref="D10:F10" si="0">SUM(D11:D17)</f>
        <v>35500</v>
      </c>
      <c r="E10" s="96">
        <f t="shared" si="0"/>
        <v>0</v>
      </c>
      <c r="F10" s="96">
        <f t="shared" si="0"/>
        <v>19000</v>
      </c>
      <c r="G10" s="97"/>
      <c r="H10" s="98"/>
      <c r="I10" s="98"/>
      <c r="J10" s="98"/>
      <c r="K10" s="165"/>
      <c r="L10" s="166"/>
      <c r="S10" s="1" t="s">
        <v>705</v>
      </c>
      <c r="T10" s="1" t="s">
        <v>706</v>
      </c>
    </row>
    <row r="11" spans="1:22" s="1" customFormat="1" ht="67.5" customHeight="1">
      <c r="A11" s="99">
        <v>1</v>
      </c>
      <c r="B11" s="100" t="s">
        <v>707</v>
      </c>
      <c r="C11" s="101">
        <f>D11+E11+F11</f>
        <v>19500</v>
      </c>
      <c r="D11" s="102">
        <v>19500</v>
      </c>
      <c r="E11" s="102"/>
      <c r="F11" s="102"/>
      <c r="G11" s="103" t="s">
        <v>708</v>
      </c>
      <c r="H11" s="103">
        <v>2026</v>
      </c>
      <c r="I11" s="103">
        <v>2026</v>
      </c>
      <c r="J11" s="103">
        <v>2027</v>
      </c>
      <c r="K11" s="103" t="s">
        <v>709</v>
      </c>
      <c r="L11" s="167"/>
      <c r="O11" s="1">
        <v>6</v>
      </c>
      <c r="P11" s="1">
        <f>6000*1.1*7</f>
        <v>46200.000000000007</v>
      </c>
      <c r="S11" s="1">
        <v>2400</v>
      </c>
      <c r="T11" s="1">
        <f>S11*3.5*U14+S11*3.5*U15+2500</f>
        <v>19300</v>
      </c>
      <c r="U11" s="1">
        <v>0.4</v>
      </c>
      <c r="V11" s="1" t="s">
        <v>683</v>
      </c>
    </row>
    <row r="12" spans="1:22" s="1" customFormat="1" ht="67.5" customHeight="1">
      <c r="A12" s="99">
        <v>2</v>
      </c>
      <c r="B12" s="100" t="s">
        <v>710</v>
      </c>
      <c r="C12" s="101">
        <f>D12+E12+F12</f>
        <v>16000</v>
      </c>
      <c r="D12" s="102">
        <v>16000</v>
      </c>
      <c r="E12" s="102"/>
      <c r="F12" s="102"/>
      <c r="G12" s="103" t="s">
        <v>711</v>
      </c>
      <c r="H12" s="103">
        <v>2026</v>
      </c>
      <c r="I12" s="103">
        <v>2026</v>
      </c>
      <c r="J12" s="103">
        <v>2027</v>
      </c>
      <c r="K12" s="103" t="s">
        <v>712</v>
      </c>
      <c r="L12" s="167"/>
      <c r="S12" s="1">
        <v>2000</v>
      </c>
      <c r="T12" s="1">
        <f>S12*3.5*U14+S12*3.5*U15+1500</f>
        <v>15500</v>
      </c>
    </row>
    <row r="13" spans="1:22" s="1" customFormat="1" ht="68.25" customHeight="1">
      <c r="A13" s="99">
        <v>3</v>
      </c>
      <c r="B13" s="100" t="s">
        <v>713</v>
      </c>
      <c r="C13" s="101">
        <f t="shared" ref="C13:C41" si="1">D13+E13+F13</f>
        <v>6000</v>
      </c>
      <c r="D13" s="102"/>
      <c r="E13" s="102"/>
      <c r="F13" s="102">
        <v>6000</v>
      </c>
      <c r="G13" s="103" t="s">
        <v>714</v>
      </c>
      <c r="H13" s="103">
        <v>2026</v>
      </c>
      <c r="I13" s="103">
        <v>2026</v>
      </c>
      <c r="J13" s="103">
        <v>2026</v>
      </c>
      <c r="K13" s="103" t="s">
        <v>709</v>
      </c>
      <c r="L13" s="167"/>
      <c r="N13" s="1">
        <v>3.5</v>
      </c>
      <c r="O13" s="1">
        <v>0.4</v>
      </c>
      <c r="P13" s="1">
        <f>O11*N13*O13</f>
        <v>8.4</v>
      </c>
      <c r="R13" s="1">
        <f>3.7*7*1.5</f>
        <v>38.85</v>
      </c>
      <c r="U13" s="1">
        <v>1.1000000000000001</v>
      </c>
      <c r="V13" s="1" t="s">
        <v>685</v>
      </c>
    </row>
    <row r="14" spans="1:22" s="1" customFormat="1" ht="46.5" customHeight="1">
      <c r="A14" s="99">
        <v>4</v>
      </c>
      <c r="B14" s="104" t="s">
        <v>667</v>
      </c>
      <c r="C14" s="101">
        <f t="shared" si="1"/>
        <v>9000</v>
      </c>
      <c r="D14" s="102"/>
      <c r="E14" s="102"/>
      <c r="F14" s="102">
        <v>9000</v>
      </c>
      <c r="G14" s="103" t="s">
        <v>715</v>
      </c>
      <c r="H14" s="103">
        <v>2026</v>
      </c>
      <c r="I14" s="103">
        <v>2026</v>
      </c>
      <c r="J14" s="103">
        <v>2026</v>
      </c>
      <c r="K14" s="103" t="s">
        <v>709</v>
      </c>
      <c r="L14" s="167"/>
      <c r="N14" s="1">
        <v>3.5</v>
      </c>
      <c r="O14" s="1">
        <v>1.1000000000000001</v>
      </c>
      <c r="P14" s="1">
        <f>O11*N14*O14</f>
        <v>23.1</v>
      </c>
      <c r="Q14" s="1">
        <f>2*5.5*0.9</f>
        <v>9.9</v>
      </c>
      <c r="U14" s="1">
        <v>0.6</v>
      </c>
      <c r="V14" s="1" t="s">
        <v>686</v>
      </c>
    </row>
    <row r="15" spans="1:22" s="1" customFormat="1" ht="46.5" customHeight="1">
      <c r="A15" s="99">
        <v>5</v>
      </c>
      <c r="B15" s="105" t="s">
        <v>669</v>
      </c>
      <c r="C15" s="101">
        <f t="shared" si="1"/>
        <v>4000</v>
      </c>
      <c r="D15" s="102"/>
      <c r="E15" s="102"/>
      <c r="F15" s="102">
        <v>4000</v>
      </c>
      <c r="G15" s="103" t="s">
        <v>716</v>
      </c>
      <c r="H15" s="103">
        <v>2026</v>
      </c>
      <c r="I15" s="103">
        <v>2026</v>
      </c>
      <c r="J15" s="103">
        <v>2026</v>
      </c>
      <c r="K15" s="103" t="s">
        <v>717</v>
      </c>
      <c r="L15" s="167"/>
      <c r="P15" s="1">
        <f>P13+P14</f>
        <v>31.5</v>
      </c>
      <c r="U15" s="1">
        <v>1.4</v>
      </c>
      <c r="V15" s="1" t="s">
        <v>688</v>
      </c>
    </row>
    <row r="16" spans="1:22" s="1" customFormat="1">
      <c r="A16" s="99"/>
      <c r="B16" s="100"/>
      <c r="C16" s="101"/>
      <c r="D16" s="102"/>
      <c r="E16" s="102"/>
      <c r="F16" s="102"/>
      <c r="G16" s="103"/>
      <c r="H16" s="103"/>
      <c r="I16" s="103"/>
      <c r="J16" s="103"/>
      <c r="K16" s="103"/>
      <c r="L16" s="167"/>
      <c r="P16" s="1">
        <f>1*1.1*5.5</f>
        <v>6.0500000000000007</v>
      </c>
    </row>
    <row r="17" spans="1:21" s="1" customFormat="1">
      <c r="A17" s="99"/>
      <c r="B17" s="100"/>
      <c r="C17" s="101"/>
      <c r="D17" s="102"/>
      <c r="E17" s="102"/>
      <c r="F17" s="102"/>
      <c r="G17" s="103"/>
      <c r="H17" s="103"/>
      <c r="I17" s="103"/>
      <c r="J17" s="103"/>
      <c r="K17" s="103"/>
      <c r="L17" s="167"/>
    </row>
    <row r="18" spans="1:21" s="1" customFormat="1" ht="15.75" customHeight="1">
      <c r="A18" s="94" t="s">
        <v>486</v>
      </c>
      <c r="B18" s="95" t="s">
        <v>673</v>
      </c>
      <c r="C18" s="96">
        <f>SUM(C19:C22)</f>
        <v>29700</v>
      </c>
      <c r="D18" s="96">
        <f t="shared" ref="D18:F18" si="2">SUM(D19:D22)</f>
        <v>0</v>
      </c>
      <c r="E18" s="96">
        <f t="shared" si="2"/>
        <v>26500</v>
      </c>
      <c r="F18" s="96">
        <f t="shared" si="2"/>
        <v>3200</v>
      </c>
      <c r="G18" s="97"/>
      <c r="H18" s="98"/>
      <c r="I18" s="98"/>
      <c r="J18" s="98"/>
      <c r="K18" s="165"/>
      <c r="L18" s="167"/>
      <c r="N18" s="1">
        <f>150*2*3</f>
        <v>900</v>
      </c>
    </row>
    <row r="19" spans="1:21" s="1" customFormat="1" ht="56.25" customHeight="1">
      <c r="A19" s="99">
        <v>1</v>
      </c>
      <c r="B19" s="106" t="s">
        <v>674</v>
      </c>
      <c r="C19" s="101">
        <f t="shared" si="1"/>
        <v>9000</v>
      </c>
      <c r="D19" s="107"/>
      <c r="E19" s="107">
        <v>9000</v>
      </c>
      <c r="F19" s="107"/>
      <c r="G19" s="108" t="s">
        <v>675</v>
      </c>
      <c r="H19" s="103">
        <v>2026</v>
      </c>
      <c r="I19" s="103">
        <v>2026</v>
      </c>
      <c r="J19" s="103">
        <v>2026</v>
      </c>
      <c r="K19" s="103" t="s">
        <v>718</v>
      </c>
      <c r="L19" s="167"/>
      <c r="O19" s="1">
        <f>300*3000</f>
        <v>900000</v>
      </c>
      <c r="S19" s="1">
        <f>1000*5.5*0.9</f>
        <v>4950</v>
      </c>
    </row>
    <row r="20" spans="1:21" s="1" customFormat="1" ht="62.25" customHeight="1">
      <c r="A20" s="99">
        <v>2</v>
      </c>
      <c r="B20" s="106" t="s">
        <v>503</v>
      </c>
      <c r="C20" s="101">
        <f t="shared" si="1"/>
        <v>17500</v>
      </c>
      <c r="D20" s="107"/>
      <c r="E20" s="107">
        <v>17500</v>
      </c>
      <c r="F20" s="107"/>
      <c r="G20" s="108" t="s">
        <v>504</v>
      </c>
      <c r="H20" s="103">
        <v>2026</v>
      </c>
      <c r="I20" s="103">
        <v>2026</v>
      </c>
      <c r="J20" s="103">
        <v>2027</v>
      </c>
      <c r="K20" s="103" t="s">
        <v>719</v>
      </c>
      <c r="L20" s="167"/>
    </row>
    <row r="21" spans="1:21" s="1" customFormat="1" ht="62.25" customHeight="1">
      <c r="A21" s="99">
        <v>3</v>
      </c>
      <c r="B21" s="109" t="s">
        <v>676</v>
      </c>
      <c r="C21" s="110">
        <f t="shared" si="1"/>
        <v>3200</v>
      </c>
      <c r="D21" s="111"/>
      <c r="E21" s="111"/>
      <c r="F21" s="111">
        <v>3200</v>
      </c>
      <c r="G21" s="112" t="s">
        <v>677</v>
      </c>
      <c r="H21" s="103">
        <v>2026</v>
      </c>
      <c r="I21" s="103">
        <v>2026</v>
      </c>
      <c r="J21" s="103">
        <v>2026</v>
      </c>
      <c r="K21" s="103" t="s">
        <v>720</v>
      </c>
      <c r="L21" s="167"/>
      <c r="M21" s="1">
        <f>425+300</f>
        <v>725</v>
      </c>
      <c r="N21" s="1">
        <f>M21*3</f>
        <v>2175</v>
      </c>
      <c r="O21" s="1">
        <f>700/0.3</f>
        <v>2333.3333333333335</v>
      </c>
      <c r="P21" s="1">
        <f>2000*0.3</f>
        <v>600</v>
      </c>
      <c r="R21" s="1">
        <f>35*80%</f>
        <v>28</v>
      </c>
    </row>
    <row r="22" spans="1:21" s="1" customFormat="1">
      <c r="A22" s="99"/>
      <c r="B22" s="113"/>
      <c r="C22" s="114"/>
      <c r="D22" s="115"/>
      <c r="E22" s="115"/>
      <c r="F22" s="115"/>
      <c r="G22" s="116"/>
      <c r="H22" s="117"/>
      <c r="I22" s="117"/>
      <c r="J22" s="117"/>
      <c r="K22" s="168"/>
      <c r="L22" s="167"/>
    </row>
    <row r="23" spans="1:21" ht="15.75" customHeight="1">
      <c r="A23" s="43" t="s">
        <v>492</v>
      </c>
      <c r="B23" s="44" t="s">
        <v>678</v>
      </c>
      <c r="C23" s="118">
        <f>SUM(C24:C25)</f>
        <v>1000</v>
      </c>
      <c r="D23" s="118">
        <f t="shared" ref="D23:F23" si="3">SUM(D24:D25)</f>
        <v>0</v>
      </c>
      <c r="E23" s="118">
        <f t="shared" si="3"/>
        <v>0</v>
      </c>
      <c r="F23" s="118">
        <f t="shared" si="3"/>
        <v>1000</v>
      </c>
      <c r="G23" s="45"/>
      <c r="H23" s="119"/>
      <c r="I23" s="119"/>
      <c r="J23" s="119"/>
      <c r="K23" s="73"/>
      <c r="L23" s="169"/>
    </row>
    <row r="24" spans="1:21" s="2" customFormat="1" ht="31">
      <c r="A24" s="120">
        <v>1</v>
      </c>
      <c r="B24" s="100" t="s">
        <v>521</v>
      </c>
      <c r="C24" s="101">
        <f>D24+E24+F24</f>
        <v>1000</v>
      </c>
      <c r="D24" s="121"/>
      <c r="E24" s="121"/>
      <c r="F24" s="121">
        <v>1000</v>
      </c>
      <c r="G24" s="122" t="s">
        <v>721</v>
      </c>
      <c r="H24" s="103">
        <v>2026</v>
      </c>
      <c r="I24" s="103">
        <v>2026</v>
      </c>
      <c r="J24" s="103">
        <v>2027</v>
      </c>
      <c r="K24" s="103" t="s">
        <v>722</v>
      </c>
      <c r="L24" s="167"/>
    </row>
    <row r="25" spans="1:21" s="4" customFormat="1">
      <c r="A25" s="14"/>
      <c r="B25" s="59"/>
      <c r="C25" s="123"/>
      <c r="D25" s="124"/>
      <c r="E25" s="124"/>
      <c r="F25" s="124"/>
      <c r="G25" s="125"/>
      <c r="H25" s="126"/>
      <c r="I25" s="126"/>
      <c r="J25" s="126"/>
      <c r="K25" s="16"/>
      <c r="L25" s="169"/>
    </row>
    <row r="26" spans="1:21" s="31" customFormat="1" ht="15">
      <c r="A26" s="89" t="s">
        <v>75</v>
      </c>
      <c r="B26" s="90" t="s">
        <v>680</v>
      </c>
      <c r="C26" s="91">
        <f>C27+C33+C38</f>
        <v>123500</v>
      </c>
      <c r="D26" s="91">
        <f>D27+D33+D38</f>
        <v>74000</v>
      </c>
      <c r="E26" s="91">
        <f>E27+E33+E38</f>
        <v>42000</v>
      </c>
      <c r="F26" s="91">
        <f>F27+F33+F38</f>
        <v>7500</v>
      </c>
      <c r="G26" s="92"/>
      <c r="H26" s="127"/>
      <c r="I26" s="127"/>
      <c r="J26" s="127"/>
      <c r="K26" s="164"/>
      <c r="L26" s="163">
        <f>D26+E26+F26</f>
        <v>123500</v>
      </c>
    </row>
    <row r="27" spans="1:21" s="1" customFormat="1" ht="15.75" customHeight="1">
      <c r="A27" s="128" t="s">
        <v>218</v>
      </c>
      <c r="B27" s="129" t="s">
        <v>461</v>
      </c>
      <c r="C27" s="130">
        <f>SUM(C28:C32)</f>
        <v>64000</v>
      </c>
      <c r="D27" s="130">
        <f t="shared" ref="D27:F27" si="4">SUM(D28:D32)</f>
        <v>64000</v>
      </c>
      <c r="E27" s="130">
        <f t="shared" si="4"/>
        <v>0</v>
      </c>
      <c r="F27" s="130">
        <f t="shared" si="4"/>
        <v>0</v>
      </c>
      <c r="G27" s="131"/>
      <c r="H27" s="132"/>
      <c r="I27" s="132"/>
      <c r="J27" s="132"/>
      <c r="K27" s="170"/>
      <c r="L27" s="167"/>
    </row>
    <row r="28" spans="1:21" s="1" customFormat="1" ht="57.5">
      <c r="A28" s="99">
        <v>1</v>
      </c>
      <c r="B28" s="100" t="s">
        <v>723</v>
      </c>
      <c r="C28" s="101">
        <f t="shared" ref="C28" si="5">D28+E28+F28</f>
        <v>28000</v>
      </c>
      <c r="D28" s="102">
        <f>3700*3.5*0.6+3700*3.5*1.4+2100</f>
        <v>28000</v>
      </c>
      <c r="E28" s="102"/>
      <c r="F28" s="102"/>
      <c r="G28" s="103" t="s">
        <v>724</v>
      </c>
      <c r="H28" s="133">
        <v>2027</v>
      </c>
      <c r="I28" s="133">
        <v>2027</v>
      </c>
      <c r="J28" s="133">
        <v>2028</v>
      </c>
      <c r="K28" s="103" t="s">
        <v>725</v>
      </c>
      <c r="N28" s="1">
        <v>3.5</v>
      </c>
      <c r="O28" s="1">
        <v>0.4</v>
      </c>
      <c r="P28" s="1">
        <f>O5*N28*O28</f>
        <v>0</v>
      </c>
      <c r="S28" s="1" t="s">
        <v>683</v>
      </c>
      <c r="T28" s="1">
        <v>0.4</v>
      </c>
    </row>
    <row r="29" spans="1:21" s="1" customFormat="1" ht="46">
      <c r="A29" s="134">
        <v>2</v>
      </c>
      <c r="B29" s="134" t="s">
        <v>464</v>
      </c>
      <c r="C29" s="101">
        <f t="shared" si="1"/>
        <v>13000</v>
      </c>
      <c r="D29" s="107">
        <v>13000</v>
      </c>
      <c r="E29" s="107"/>
      <c r="F29" s="107"/>
      <c r="G29" s="103" t="s">
        <v>726</v>
      </c>
      <c r="H29" s="133">
        <v>2027</v>
      </c>
      <c r="I29" s="133">
        <v>2027</v>
      </c>
      <c r="J29" s="133">
        <v>2027</v>
      </c>
      <c r="K29" s="103" t="s">
        <v>727</v>
      </c>
      <c r="N29" s="1">
        <f>2.2*5.5*1.1</f>
        <v>13.310000000000002</v>
      </c>
      <c r="S29" s="1" t="s">
        <v>685</v>
      </c>
      <c r="T29" s="1">
        <v>1.1000000000000001</v>
      </c>
    </row>
    <row r="30" spans="1:21" s="1" customFormat="1" ht="34.5">
      <c r="A30" s="134">
        <v>3</v>
      </c>
      <c r="B30" s="134" t="s">
        <v>728</v>
      </c>
      <c r="C30" s="101">
        <f t="shared" si="1"/>
        <v>23000</v>
      </c>
      <c r="D30" s="107">
        <v>23000</v>
      </c>
      <c r="E30" s="107"/>
      <c r="F30" s="107"/>
      <c r="G30" s="103" t="s">
        <v>729</v>
      </c>
      <c r="H30" s="133">
        <v>2027</v>
      </c>
      <c r="I30" s="133">
        <v>2027</v>
      </c>
      <c r="J30" s="133">
        <v>2027</v>
      </c>
      <c r="K30" s="103" t="s">
        <v>722</v>
      </c>
      <c r="S30" s="1" t="s">
        <v>686</v>
      </c>
      <c r="T30" s="1">
        <v>0.6</v>
      </c>
      <c r="U30" s="1">
        <f>4000*5.5*1.1</f>
        <v>24200.000000000004</v>
      </c>
    </row>
    <row r="31" spans="1:21">
      <c r="A31" s="18">
        <v>4</v>
      </c>
      <c r="B31" s="15" t="s">
        <v>671</v>
      </c>
      <c r="C31" s="123"/>
      <c r="D31" s="135"/>
      <c r="E31" s="135"/>
      <c r="F31" s="135"/>
      <c r="G31" s="29" t="s">
        <v>687</v>
      </c>
      <c r="H31" s="136">
        <v>2027</v>
      </c>
      <c r="I31" s="136">
        <v>2027</v>
      </c>
      <c r="J31" s="136">
        <v>2027</v>
      </c>
      <c r="K31" s="29"/>
      <c r="P31" s="8">
        <f>1*1.1*5.5</f>
        <v>6.0500000000000007</v>
      </c>
      <c r="S31" s="8" t="s">
        <v>688</v>
      </c>
      <c r="T31" s="8">
        <v>1.4</v>
      </c>
    </row>
    <row r="32" spans="1:21">
      <c r="A32" s="21"/>
      <c r="B32" s="21"/>
      <c r="C32" s="123">
        <f t="shared" si="1"/>
        <v>0</v>
      </c>
      <c r="D32" s="137"/>
      <c r="E32" s="137"/>
      <c r="F32" s="137"/>
      <c r="G32" s="20"/>
      <c r="H32" s="136"/>
      <c r="I32" s="136"/>
      <c r="J32" s="136"/>
      <c r="K32" s="68"/>
    </row>
    <row r="33" spans="1:19" s="1" customFormat="1" ht="15.75" customHeight="1">
      <c r="A33" s="94" t="s">
        <v>486</v>
      </c>
      <c r="B33" s="95" t="s">
        <v>673</v>
      </c>
      <c r="C33" s="96">
        <f>SUM(C34:C37)</f>
        <v>50000</v>
      </c>
      <c r="D33" s="96">
        <f t="shared" ref="D33:F33" si="6">SUM(D34:D37)</f>
        <v>10000</v>
      </c>
      <c r="E33" s="96">
        <f t="shared" si="6"/>
        <v>35000</v>
      </c>
      <c r="F33" s="96">
        <f t="shared" si="6"/>
        <v>5000</v>
      </c>
      <c r="G33" s="97"/>
      <c r="H33" s="98"/>
      <c r="I33" s="98"/>
      <c r="J33" s="98"/>
      <c r="K33" s="165"/>
      <c r="N33" s="1">
        <f>150*2*3</f>
        <v>900</v>
      </c>
      <c r="S33" s="1">
        <f>2200*5.5*1.1</f>
        <v>13310.000000000002</v>
      </c>
    </row>
    <row r="34" spans="1:19" s="1" customFormat="1" ht="31">
      <c r="A34" s="134">
        <v>1</v>
      </c>
      <c r="B34" s="134" t="s">
        <v>689</v>
      </c>
      <c r="C34" s="101">
        <f t="shared" si="1"/>
        <v>19000</v>
      </c>
      <c r="D34" s="107"/>
      <c r="E34" s="107">
        <v>19000</v>
      </c>
      <c r="F34" s="107"/>
      <c r="G34" s="138"/>
      <c r="H34" s="133">
        <v>2027</v>
      </c>
      <c r="I34" s="133">
        <v>2027</v>
      </c>
      <c r="J34" s="133">
        <v>2028</v>
      </c>
      <c r="K34" s="103" t="s">
        <v>722</v>
      </c>
      <c r="P34" s="1">
        <f>10*90*15</f>
        <v>13500</v>
      </c>
    </row>
    <row r="35" spans="1:19" s="1" customFormat="1" ht="31">
      <c r="A35" s="134">
        <v>2</v>
      </c>
      <c r="B35" s="134" t="s">
        <v>690</v>
      </c>
      <c r="C35" s="101">
        <f t="shared" si="1"/>
        <v>16000</v>
      </c>
      <c r="D35" s="107"/>
      <c r="E35" s="107">
        <v>16000</v>
      </c>
      <c r="F35" s="107"/>
      <c r="G35" s="138"/>
      <c r="H35" s="133">
        <v>2027</v>
      </c>
      <c r="I35" s="133">
        <v>2027</v>
      </c>
      <c r="J35" s="133">
        <v>2028</v>
      </c>
      <c r="K35" s="103" t="s">
        <v>722</v>
      </c>
    </row>
    <row r="36" spans="1:19" s="80" customFormat="1" ht="36.75" customHeight="1">
      <c r="A36" s="139">
        <v>3</v>
      </c>
      <c r="B36" s="139" t="s">
        <v>691</v>
      </c>
      <c r="C36" s="140">
        <f t="shared" si="1"/>
        <v>15000</v>
      </c>
      <c r="D36" s="141">
        <v>10000</v>
      </c>
      <c r="E36" s="141"/>
      <c r="F36" s="141">
        <v>5000</v>
      </c>
      <c r="G36" s="142"/>
      <c r="H36" s="143"/>
      <c r="I36" s="143"/>
      <c r="J36" s="143"/>
      <c r="K36" s="171" t="s">
        <v>730</v>
      </c>
    </row>
    <row r="37" spans="1:19" s="80" customFormat="1">
      <c r="A37" s="139"/>
      <c r="B37" s="139"/>
      <c r="C37" s="140">
        <f t="shared" si="1"/>
        <v>0</v>
      </c>
      <c r="D37" s="141"/>
      <c r="E37" s="141"/>
      <c r="F37" s="141"/>
      <c r="G37" s="142"/>
      <c r="H37" s="143"/>
      <c r="I37" s="143"/>
      <c r="J37" s="143"/>
      <c r="K37" s="103"/>
    </row>
    <row r="38" spans="1:19" ht="15.75" customHeight="1">
      <c r="A38" s="144" t="s">
        <v>492</v>
      </c>
      <c r="B38" s="145" t="s">
        <v>678</v>
      </c>
      <c r="C38" s="146">
        <f>SUM(C39:C41)</f>
        <v>9500</v>
      </c>
      <c r="D38" s="146">
        <f>SUM(D39:D41)</f>
        <v>0</v>
      </c>
      <c r="E38" s="146">
        <f>SUM(E39:E41)</f>
        <v>7000</v>
      </c>
      <c r="F38" s="146">
        <f>SUM(F39:F41)</f>
        <v>2500</v>
      </c>
      <c r="G38" s="147"/>
      <c r="H38" s="148"/>
      <c r="I38" s="148"/>
      <c r="J38" s="148"/>
      <c r="K38" s="172"/>
      <c r="L38" s="169"/>
      <c r="O38" s="8">
        <f>4*5.5*1.1</f>
        <v>24.200000000000003</v>
      </c>
    </row>
    <row r="39" spans="1:19" s="1" customFormat="1" ht="56.25" customHeight="1">
      <c r="A39" s="99">
        <v>1</v>
      </c>
      <c r="B39" s="100" t="s">
        <v>533</v>
      </c>
      <c r="C39" s="101">
        <f t="shared" si="1"/>
        <v>2500</v>
      </c>
      <c r="D39" s="102"/>
      <c r="E39" s="102"/>
      <c r="F39" s="102">
        <v>2500</v>
      </c>
      <c r="G39" s="103"/>
      <c r="H39" s="133">
        <v>2027</v>
      </c>
      <c r="I39" s="133">
        <v>2027</v>
      </c>
      <c r="J39" s="133">
        <v>2027</v>
      </c>
      <c r="K39" s="103" t="s">
        <v>722</v>
      </c>
      <c r="L39" s="167"/>
      <c r="N39" s="1">
        <v>3.5</v>
      </c>
      <c r="O39" s="1">
        <v>0.4</v>
      </c>
      <c r="P39" s="1">
        <f>O11*N39*O39</f>
        <v>8.4</v>
      </c>
      <c r="R39" s="1">
        <f>15*12*12000</f>
        <v>2160000</v>
      </c>
    </row>
    <row r="40" spans="1:19" s="1" customFormat="1" ht="31">
      <c r="A40" s="99">
        <v>2</v>
      </c>
      <c r="B40" s="104" t="s">
        <v>731</v>
      </c>
      <c r="C40" s="101">
        <f t="shared" si="1"/>
        <v>7000</v>
      </c>
      <c r="D40" s="102"/>
      <c r="E40" s="102">
        <v>7000</v>
      </c>
      <c r="F40" s="102"/>
      <c r="G40" s="103"/>
      <c r="H40" s="133">
        <v>2027</v>
      </c>
      <c r="I40" s="133">
        <v>2027</v>
      </c>
      <c r="J40" s="133">
        <v>2028</v>
      </c>
      <c r="K40" s="103" t="s">
        <v>722</v>
      </c>
    </row>
    <row r="41" spans="1:19" s="1" customFormat="1">
      <c r="A41" s="99"/>
      <c r="B41" s="100"/>
      <c r="C41" s="101">
        <f t="shared" si="1"/>
        <v>0</v>
      </c>
      <c r="D41" s="102"/>
      <c r="E41" s="102"/>
      <c r="F41" s="102"/>
      <c r="G41" s="103"/>
      <c r="H41" s="117"/>
      <c r="I41" s="117"/>
      <c r="J41" s="117"/>
      <c r="K41" s="103"/>
    </row>
    <row r="42" spans="1:19" s="81" customFormat="1" ht="15">
      <c r="A42" s="149" t="s">
        <v>84</v>
      </c>
      <c r="B42" s="150" t="s">
        <v>693</v>
      </c>
      <c r="C42" s="151">
        <f>C43+C49+C53</f>
        <v>127500</v>
      </c>
      <c r="D42" s="151">
        <f t="shared" ref="D42:F42" si="7">D43+D49+D53</f>
        <v>62000</v>
      </c>
      <c r="E42" s="151">
        <f t="shared" si="7"/>
        <v>54500</v>
      </c>
      <c r="F42" s="151">
        <f t="shared" si="7"/>
        <v>11000</v>
      </c>
      <c r="G42" s="152"/>
      <c r="H42" s="153"/>
      <c r="I42" s="153"/>
      <c r="J42" s="153"/>
      <c r="K42" s="173"/>
      <c r="L42" s="174">
        <f>D42+E42+F42</f>
        <v>127500</v>
      </c>
    </row>
    <row r="43" spans="1:19" ht="15.75" customHeight="1">
      <c r="A43" s="154" t="s">
        <v>218</v>
      </c>
      <c r="B43" s="155" t="s">
        <v>461</v>
      </c>
      <c r="C43" s="156">
        <f>SUM(C44:C48)</f>
        <v>62000</v>
      </c>
      <c r="D43" s="156">
        <f t="shared" ref="D43:F43" si="8">SUM(D44:D48)</f>
        <v>62000</v>
      </c>
      <c r="E43" s="156">
        <f t="shared" si="8"/>
        <v>0</v>
      </c>
      <c r="F43" s="156">
        <f t="shared" si="8"/>
        <v>0</v>
      </c>
      <c r="G43" s="157"/>
      <c r="H43" s="158"/>
      <c r="I43" s="158"/>
      <c r="J43" s="158"/>
      <c r="K43" s="175"/>
    </row>
    <row r="44" spans="1:19" ht="34.5">
      <c r="A44" s="99">
        <v>1</v>
      </c>
      <c r="B44" s="100" t="s">
        <v>732</v>
      </c>
      <c r="C44" s="101">
        <f t="shared" ref="C44:C45" si="9">D44+E44+F44</f>
        <v>18000</v>
      </c>
      <c r="D44" s="102">
        <v>18000</v>
      </c>
      <c r="E44" s="102"/>
      <c r="F44" s="102"/>
      <c r="G44" s="103" t="s">
        <v>733</v>
      </c>
      <c r="H44" s="103">
        <v>2028</v>
      </c>
      <c r="I44" s="103">
        <v>2028</v>
      </c>
      <c r="J44" s="103">
        <v>2028</v>
      </c>
      <c r="K44" s="103" t="s">
        <v>725</v>
      </c>
      <c r="L44" s="8">
        <f>230+25+70+600</f>
        <v>925</v>
      </c>
      <c r="N44" s="8">
        <v>3.5</v>
      </c>
      <c r="O44" s="8">
        <v>0.4</v>
      </c>
      <c r="P44" s="8">
        <f>O23*N44*O44</f>
        <v>0</v>
      </c>
    </row>
    <row r="45" spans="1:19" ht="34.5">
      <c r="A45" s="99">
        <v>2</v>
      </c>
      <c r="B45" s="104" t="s">
        <v>734</v>
      </c>
      <c r="C45" s="101">
        <f t="shared" si="9"/>
        <v>17000</v>
      </c>
      <c r="D45" s="102">
        <v>17000</v>
      </c>
      <c r="E45" s="102"/>
      <c r="F45" s="102"/>
      <c r="G45" s="103" t="s">
        <v>735</v>
      </c>
      <c r="H45" s="103">
        <v>2028</v>
      </c>
      <c r="I45" s="103">
        <v>2028</v>
      </c>
      <c r="J45" s="103">
        <v>2028</v>
      </c>
      <c r="K45" s="103" t="s">
        <v>725</v>
      </c>
      <c r="L45" s="8">
        <f>L44-1500</f>
        <v>-575</v>
      </c>
      <c r="N45" s="8">
        <f>2.2*5.5*1.1</f>
        <v>13.310000000000002</v>
      </c>
    </row>
    <row r="46" spans="1:19" s="1" customFormat="1" ht="57.5">
      <c r="A46" s="134">
        <v>3</v>
      </c>
      <c r="B46" s="104" t="s">
        <v>257</v>
      </c>
      <c r="C46" s="101">
        <f t="shared" ref="C46:C48" si="10">D46+E46+F46</f>
        <v>27000</v>
      </c>
      <c r="D46" s="107">
        <f>2200*26*0.3+1200*5.5*1.1+2580</f>
        <v>27000</v>
      </c>
      <c r="E46" s="107"/>
      <c r="F46" s="107"/>
      <c r="G46" s="103" t="s">
        <v>736</v>
      </c>
      <c r="H46" s="103">
        <v>2028</v>
      </c>
      <c r="I46" s="103">
        <v>2028</v>
      </c>
      <c r="J46" s="103">
        <v>2030</v>
      </c>
      <c r="K46" s="103" t="s">
        <v>737</v>
      </c>
      <c r="L46" s="1">
        <f>26*2.2*150</f>
        <v>8580</v>
      </c>
    </row>
    <row r="47" spans="1:19">
      <c r="A47" s="18">
        <v>4</v>
      </c>
      <c r="B47" s="15" t="s">
        <v>671</v>
      </c>
      <c r="C47" s="123"/>
      <c r="D47" s="135"/>
      <c r="E47" s="135"/>
      <c r="F47" s="135"/>
      <c r="G47" s="29" t="s">
        <v>687</v>
      </c>
      <c r="H47" s="29"/>
      <c r="I47" s="29"/>
      <c r="J47" s="29"/>
      <c r="K47" s="29"/>
      <c r="P47" s="8">
        <f>1*1.1*5.5</f>
        <v>6.0500000000000007</v>
      </c>
    </row>
    <row r="48" spans="1:19">
      <c r="A48" s="21"/>
      <c r="B48" s="21"/>
      <c r="C48" s="123">
        <f t="shared" si="10"/>
        <v>0</v>
      </c>
      <c r="D48" s="137"/>
      <c r="E48" s="137"/>
      <c r="F48" s="137"/>
      <c r="G48" s="20"/>
      <c r="H48" s="136"/>
      <c r="I48" s="136"/>
      <c r="J48" s="136"/>
      <c r="K48" s="68"/>
    </row>
    <row r="49" spans="1:16" ht="15.75" customHeight="1">
      <c r="A49" s="43" t="s">
        <v>486</v>
      </c>
      <c r="B49" s="44" t="s">
        <v>673</v>
      </c>
      <c r="C49" s="118">
        <f>SUM(C50:C52)</f>
        <v>59500</v>
      </c>
      <c r="D49" s="118">
        <f t="shared" ref="D49:F49" si="11">SUM(D50:D52)</f>
        <v>0</v>
      </c>
      <c r="E49" s="118">
        <f t="shared" si="11"/>
        <v>54500</v>
      </c>
      <c r="F49" s="118">
        <f t="shared" si="11"/>
        <v>5000</v>
      </c>
      <c r="G49" s="45"/>
      <c r="H49" s="119"/>
      <c r="I49" s="119"/>
      <c r="J49" s="119"/>
      <c r="K49" s="73"/>
      <c r="N49" s="8">
        <f>150*2*3</f>
        <v>900</v>
      </c>
    </row>
    <row r="50" spans="1:16" s="1" customFormat="1" ht="46">
      <c r="A50" s="134">
        <v>1</v>
      </c>
      <c r="B50" s="159" t="s">
        <v>694</v>
      </c>
      <c r="C50" s="101">
        <f t="shared" ref="C50:C52" si="12">D50+E50+F50</f>
        <v>14500</v>
      </c>
      <c r="D50" s="107"/>
      <c r="E50" s="107">
        <v>14500</v>
      </c>
      <c r="F50" s="107"/>
      <c r="G50" s="138"/>
      <c r="H50" s="133">
        <v>2028</v>
      </c>
      <c r="I50" s="133">
        <v>2028</v>
      </c>
      <c r="J50" s="133">
        <v>2028</v>
      </c>
      <c r="K50" s="103" t="s">
        <v>738</v>
      </c>
    </row>
    <row r="51" spans="1:16" s="1" customFormat="1" ht="31">
      <c r="A51" s="134">
        <v>2</v>
      </c>
      <c r="B51" s="104" t="s">
        <v>544</v>
      </c>
      <c r="C51" s="101">
        <f t="shared" si="12"/>
        <v>45000</v>
      </c>
      <c r="D51" s="107"/>
      <c r="E51" s="107">
        <v>40000</v>
      </c>
      <c r="F51" s="107">
        <v>5000</v>
      </c>
      <c r="G51" s="138"/>
      <c r="H51" s="133">
        <v>2028</v>
      </c>
      <c r="I51" s="133">
        <v>2028</v>
      </c>
      <c r="J51" s="133">
        <v>2029</v>
      </c>
      <c r="K51" s="103" t="s">
        <v>722</v>
      </c>
    </row>
    <row r="52" spans="1:16">
      <c r="A52" s="21"/>
      <c r="B52" s="21"/>
      <c r="C52" s="123">
        <f t="shared" si="12"/>
        <v>0</v>
      </c>
      <c r="D52" s="137"/>
      <c r="E52" s="137"/>
      <c r="F52" s="137"/>
      <c r="G52" s="68"/>
      <c r="H52" s="136"/>
      <c r="I52" s="136"/>
      <c r="J52" s="136"/>
      <c r="K52" s="68"/>
    </row>
    <row r="53" spans="1:16" ht="15.75" customHeight="1">
      <c r="A53" s="144" t="s">
        <v>492</v>
      </c>
      <c r="B53" s="145" t="s">
        <v>678</v>
      </c>
      <c r="C53" s="146">
        <f>SUM(C54:C56)</f>
        <v>6000</v>
      </c>
      <c r="D53" s="146">
        <f t="shared" ref="D53:F53" si="13">SUM(D54:D56)</f>
        <v>0</v>
      </c>
      <c r="E53" s="146">
        <f t="shared" si="13"/>
        <v>0</v>
      </c>
      <c r="F53" s="146">
        <f t="shared" si="13"/>
        <v>6000</v>
      </c>
      <c r="G53" s="147"/>
      <c r="H53" s="148"/>
      <c r="I53" s="148"/>
      <c r="J53" s="148"/>
      <c r="K53" s="172"/>
      <c r="O53" s="8">
        <f>4*5.5*1.1</f>
        <v>24.200000000000003</v>
      </c>
    </row>
    <row r="54" spans="1:16" s="1" customFormat="1" ht="56.25" customHeight="1">
      <c r="A54" s="99">
        <v>1</v>
      </c>
      <c r="B54" s="100" t="s">
        <v>536</v>
      </c>
      <c r="C54" s="101">
        <f t="shared" ref="C54:C56" si="14">D54+E54+F54</f>
        <v>2500</v>
      </c>
      <c r="D54" s="102"/>
      <c r="E54" s="102"/>
      <c r="F54" s="102">
        <v>2500</v>
      </c>
      <c r="G54" s="103"/>
      <c r="H54" s="133">
        <v>2028</v>
      </c>
      <c r="I54" s="133">
        <v>2028</v>
      </c>
      <c r="J54" s="133">
        <v>2028</v>
      </c>
      <c r="K54" s="103" t="s">
        <v>722</v>
      </c>
      <c r="N54" s="1">
        <v>3.5</v>
      </c>
      <c r="O54" s="1">
        <v>0.4</v>
      </c>
      <c r="P54" s="1">
        <f>O30*N54*O54</f>
        <v>0</v>
      </c>
    </row>
    <row r="55" spans="1:16" s="1" customFormat="1" ht="56.25" customHeight="1">
      <c r="A55" s="99">
        <v>2</v>
      </c>
      <c r="B55" s="100" t="s">
        <v>540</v>
      </c>
      <c r="C55" s="101">
        <f t="shared" si="14"/>
        <v>3500</v>
      </c>
      <c r="D55" s="101"/>
      <c r="E55" s="101"/>
      <c r="F55" s="101">
        <v>3500</v>
      </c>
      <c r="G55" s="103"/>
      <c r="H55" s="133">
        <v>2028</v>
      </c>
      <c r="I55" s="133">
        <v>2028</v>
      </c>
      <c r="J55" s="133">
        <v>2028</v>
      </c>
      <c r="K55" s="103" t="s">
        <v>739</v>
      </c>
    </row>
    <row r="56" spans="1:16">
      <c r="A56" s="18"/>
      <c r="B56" s="59"/>
      <c r="C56" s="101">
        <f t="shared" si="14"/>
        <v>0</v>
      </c>
      <c r="D56" s="101"/>
      <c r="E56" s="101"/>
      <c r="F56" s="101"/>
      <c r="G56" s="29"/>
      <c r="H56" s="160"/>
      <c r="I56" s="160"/>
      <c r="J56" s="160"/>
      <c r="K56" s="29"/>
    </row>
    <row r="57" spans="1:16" s="81" customFormat="1" ht="15">
      <c r="A57" s="149" t="s">
        <v>126</v>
      </c>
      <c r="B57" s="150" t="s">
        <v>696</v>
      </c>
      <c r="C57" s="151">
        <f>C58+C66+C70</f>
        <v>112000</v>
      </c>
      <c r="D57" s="151">
        <f>D58+D66+D70</f>
        <v>66000</v>
      </c>
      <c r="E57" s="151">
        <f>E58+E66+E70</f>
        <v>39000</v>
      </c>
      <c r="F57" s="151">
        <f>F58+F66+F70</f>
        <v>7000</v>
      </c>
      <c r="G57" s="152"/>
      <c r="H57" s="153"/>
      <c r="I57" s="153"/>
      <c r="J57" s="153"/>
      <c r="K57" s="173"/>
      <c r="L57" s="174">
        <f>D57+E57+F57</f>
        <v>112000</v>
      </c>
    </row>
    <row r="58" spans="1:16" ht="15.75" customHeight="1">
      <c r="A58" s="154" t="s">
        <v>218</v>
      </c>
      <c r="B58" s="155" t="s">
        <v>461</v>
      </c>
      <c r="C58" s="156">
        <f>SUM(C59:C65)</f>
        <v>73500</v>
      </c>
      <c r="D58" s="156">
        <f>SUM(D59:D65)</f>
        <v>66000</v>
      </c>
      <c r="E58" s="156">
        <f>SUM(E59:E65)</f>
        <v>7500</v>
      </c>
      <c r="F58" s="156">
        <f>SUM(F59:F65)</f>
        <v>0</v>
      </c>
      <c r="G58" s="157"/>
      <c r="H58" s="158"/>
      <c r="I58" s="158"/>
      <c r="J58" s="158"/>
      <c r="K58" s="175"/>
    </row>
    <row r="59" spans="1:16" s="1" customFormat="1" ht="34.5">
      <c r="A59" s="99">
        <v>1</v>
      </c>
      <c r="B59" s="100" t="s">
        <v>740</v>
      </c>
      <c r="C59" s="101">
        <f t="shared" ref="C59:C65" si="15">D59+E59+F59</f>
        <v>15999.999999999998</v>
      </c>
      <c r="D59" s="102">
        <f>3000*7*0.7+1300</f>
        <v>15999.999999999998</v>
      </c>
      <c r="E59" s="102"/>
      <c r="F59" s="102"/>
      <c r="G59" s="103" t="s">
        <v>741</v>
      </c>
      <c r="H59" s="133">
        <v>2029</v>
      </c>
      <c r="I59" s="133">
        <v>2029</v>
      </c>
      <c r="J59" s="133">
        <v>2030</v>
      </c>
      <c r="K59" s="103" t="s">
        <v>742</v>
      </c>
      <c r="N59" s="1">
        <v>3.5</v>
      </c>
      <c r="O59" s="1">
        <v>0.4</v>
      </c>
      <c r="P59" s="1">
        <f>O39*N59*O59</f>
        <v>0.56000000000000005</v>
      </c>
    </row>
    <row r="60" spans="1:16" s="1" customFormat="1" ht="46">
      <c r="A60" s="134">
        <v>2</v>
      </c>
      <c r="B60" s="104" t="s">
        <v>743</v>
      </c>
      <c r="C60" s="101">
        <f t="shared" si="15"/>
        <v>13000</v>
      </c>
      <c r="D60" s="107">
        <v>13000</v>
      </c>
      <c r="E60" s="107"/>
      <c r="F60" s="107"/>
      <c r="G60" s="103" t="s">
        <v>744</v>
      </c>
      <c r="H60" s="133">
        <v>2029</v>
      </c>
      <c r="I60" s="133">
        <v>2029</v>
      </c>
      <c r="J60" s="133">
        <v>2029</v>
      </c>
      <c r="K60" s="103" t="s">
        <v>727</v>
      </c>
      <c r="N60" s="1">
        <f>2.2*5.5*1.1</f>
        <v>13.310000000000002</v>
      </c>
    </row>
    <row r="61" spans="1:16" s="1" customFormat="1" ht="23">
      <c r="A61" s="134">
        <v>3</v>
      </c>
      <c r="B61" s="100" t="s">
        <v>474</v>
      </c>
      <c r="C61" s="101">
        <f t="shared" si="15"/>
        <v>21000</v>
      </c>
      <c r="D61" s="107">
        <v>21000</v>
      </c>
      <c r="E61" s="107"/>
      <c r="F61" s="107"/>
      <c r="G61" s="103" t="s">
        <v>745</v>
      </c>
      <c r="H61" s="133">
        <v>2029</v>
      </c>
      <c r="I61" s="133">
        <v>2029</v>
      </c>
      <c r="J61" s="133">
        <v>2030</v>
      </c>
      <c r="K61" s="103" t="s">
        <v>722</v>
      </c>
      <c r="N61" s="1">
        <f>2700*15*0.3</f>
        <v>12150</v>
      </c>
    </row>
    <row r="62" spans="1:16" s="1" customFormat="1" ht="57.5">
      <c r="A62" s="134">
        <v>4</v>
      </c>
      <c r="B62" s="100" t="s">
        <v>242</v>
      </c>
      <c r="C62" s="101">
        <f t="shared" si="15"/>
        <v>16000</v>
      </c>
      <c r="D62" s="102">
        <f>2300*3.5*0.6+2300*3.5*1.4-100</f>
        <v>16000</v>
      </c>
      <c r="E62" s="107"/>
      <c r="F62" s="107"/>
      <c r="G62" s="103" t="s">
        <v>746</v>
      </c>
      <c r="H62" s="133">
        <v>2029</v>
      </c>
      <c r="I62" s="133">
        <v>2029</v>
      </c>
      <c r="J62" s="133">
        <v>2030</v>
      </c>
      <c r="K62" s="103" t="s">
        <v>727</v>
      </c>
      <c r="N62" s="1">
        <f>2.5*5.5*1.1</f>
        <v>15.125000000000002</v>
      </c>
    </row>
    <row r="63" spans="1:16" s="1" customFormat="1" ht="34.5">
      <c r="A63" s="134">
        <v>5</v>
      </c>
      <c r="B63" s="104" t="s">
        <v>612</v>
      </c>
      <c r="C63" s="101">
        <f t="shared" si="15"/>
        <v>7500</v>
      </c>
      <c r="D63" s="102"/>
      <c r="E63" s="102">
        <v>7500</v>
      </c>
      <c r="F63" s="102"/>
      <c r="G63" s="103" t="s">
        <v>747</v>
      </c>
      <c r="H63" s="133"/>
      <c r="I63" s="133"/>
      <c r="J63" s="133"/>
      <c r="K63" s="103" t="s">
        <v>722</v>
      </c>
    </row>
    <row r="64" spans="1:16">
      <c r="A64" s="18">
        <v>6</v>
      </c>
      <c r="B64" s="15" t="s">
        <v>671</v>
      </c>
      <c r="C64" s="123">
        <f t="shared" si="15"/>
        <v>0</v>
      </c>
      <c r="D64" s="135"/>
      <c r="E64" s="135"/>
      <c r="F64" s="135"/>
      <c r="G64" s="29" t="s">
        <v>687</v>
      </c>
      <c r="H64" s="136">
        <v>2029</v>
      </c>
      <c r="I64" s="136">
        <v>2029</v>
      </c>
      <c r="J64" s="136">
        <v>2029</v>
      </c>
      <c r="K64" s="29"/>
      <c r="P64" s="8">
        <f>1*1.1*5.5</f>
        <v>6.0500000000000007</v>
      </c>
    </row>
    <row r="65" spans="1:20">
      <c r="A65" s="21"/>
      <c r="B65" s="21"/>
      <c r="C65" s="123">
        <f t="shared" si="15"/>
        <v>0</v>
      </c>
      <c r="D65" s="137"/>
      <c r="E65" s="137"/>
      <c r="F65" s="137"/>
      <c r="G65" s="20"/>
      <c r="H65" s="136"/>
      <c r="I65" s="136"/>
      <c r="J65" s="136"/>
      <c r="K65" s="68"/>
    </row>
    <row r="66" spans="1:20" ht="15.75" customHeight="1">
      <c r="A66" s="43" t="s">
        <v>486</v>
      </c>
      <c r="B66" s="44" t="s">
        <v>673</v>
      </c>
      <c r="C66" s="118">
        <f>SUM(C67:C69)</f>
        <v>31500</v>
      </c>
      <c r="D66" s="118">
        <f t="shared" ref="D66:F66" si="16">SUM(D67:D69)</f>
        <v>0</v>
      </c>
      <c r="E66" s="118">
        <f t="shared" si="16"/>
        <v>31500</v>
      </c>
      <c r="F66" s="118">
        <f t="shared" si="16"/>
        <v>0</v>
      </c>
      <c r="G66" s="45"/>
      <c r="H66" s="119"/>
      <c r="I66" s="119"/>
      <c r="J66" s="119"/>
      <c r="K66" s="73"/>
      <c r="N66" s="8">
        <f>150*2*3</f>
        <v>900</v>
      </c>
    </row>
    <row r="67" spans="1:20" s="1" customFormat="1" ht="31">
      <c r="A67" s="134">
        <v>1</v>
      </c>
      <c r="B67" s="100" t="s">
        <v>508</v>
      </c>
      <c r="C67" s="101">
        <f t="shared" ref="C67:C69" si="17">D67+E67+F67</f>
        <v>12500</v>
      </c>
      <c r="D67" s="107"/>
      <c r="E67" s="107">
        <v>12500</v>
      </c>
      <c r="F67" s="107"/>
      <c r="G67" s="138"/>
      <c r="H67" s="133">
        <v>2029</v>
      </c>
      <c r="I67" s="133">
        <v>2029</v>
      </c>
      <c r="J67" s="133">
        <v>2029</v>
      </c>
      <c r="K67" s="103" t="s">
        <v>722</v>
      </c>
      <c r="L67" s="1">
        <f>18*15*60</f>
        <v>16200</v>
      </c>
    </row>
    <row r="68" spans="1:20" s="1" customFormat="1" ht="31">
      <c r="A68" s="134">
        <v>2</v>
      </c>
      <c r="B68" s="100" t="s">
        <v>700</v>
      </c>
      <c r="C68" s="101">
        <f t="shared" si="17"/>
        <v>19000</v>
      </c>
      <c r="D68" s="107"/>
      <c r="E68" s="107">
        <v>19000</v>
      </c>
      <c r="F68" s="107"/>
      <c r="G68" s="138"/>
      <c r="H68" s="133">
        <v>2029</v>
      </c>
      <c r="I68" s="133">
        <v>2029</v>
      </c>
      <c r="J68" s="133">
        <v>2030</v>
      </c>
      <c r="K68" s="103" t="s">
        <v>722</v>
      </c>
    </row>
    <row r="69" spans="1:20">
      <c r="A69" s="21"/>
      <c r="B69" s="21"/>
      <c r="C69" s="123">
        <f t="shared" si="17"/>
        <v>0</v>
      </c>
      <c r="D69" s="137"/>
      <c r="E69" s="137"/>
      <c r="F69" s="137"/>
      <c r="G69" s="68"/>
      <c r="H69" s="21"/>
      <c r="I69" s="21"/>
      <c r="J69" s="21"/>
      <c r="K69" s="68"/>
    </row>
    <row r="70" spans="1:20" ht="15.75" customHeight="1">
      <c r="A70" s="144" t="s">
        <v>492</v>
      </c>
      <c r="B70" s="145" t="s">
        <v>678</v>
      </c>
      <c r="C70" s="146">
        <f>SUM(C71:C73)</f>
        <v>7000</v>
      </c>
      <c r="D70" s="146">
        <f t="shared" ref="D70:F70" si="18">SUM(D71:D73)</f>
        <v>0</v>
      </c>
      <c r="E70" s="146">
        <f t="shared" si="18"/>
        <v>0</v>
      </c>
      <c r="F70" s="146">
        <f t="shared" si="18"/>
        <v>7000</v>
      </c>
      <c r="G70" s="147"/>
      <c r="H70" s="148"/>
      <c r="I70" s="148"/>
      <c r="J70" s="148"/>
      <c r="K70" s="172"/>
      <c r="O70" s="8">
        <f>4*5.5*1.1</f>
        <v>24.200000000000003</v>
      </c>
    </row>
    <row r="71" spans="1:20" s="1" customFormat="1" ht="56.25" customHeight="1">
      <c r="A71" s="99">
        <v>1</v>
      </c>
      <c r="B71" s="100" t="s">
        <v>538</v>
      </c>
      <c r="C71" s="101">
        <f t="shared" ref="C71:C72" si="19">D71+E71+F71</f>
        <v>3500</v>
      </c>
      <c r="D71" s="102"/>
      <c r="E71" s="102"/>
      <c r="F71" s="102">
        <v>3500</v>
      </c>
      <c r="G71" s="103"/>
      <c r="H71" s="133">
        <v>2029</v>
      </c>
      <c r="I71" s="133">
        <v>2029</v>
      </c>
      <c r="J71" s="133">
        <v>2029</v>
      </c>
      <c r="K71" s="103" t="s">
        <v>722</v>
      </c>
      <c r="N71" s="1">
        <v>3.5</v>
      </c>
      <c r="O71" s="1">
        <v>0.4</v>
      </c>
      <c r="P71" s="1">
        <f>O45*N71*O71</f>
        <v>0</v>
      </c>
    </row>
    <row r="72" spans="1:20" s="1" customFormat="1" ht="23">
      <c r="A72" s="99"/>
      <c r="B72" s="104" t="s">
        <v>615</v>
      </c>
      <c r="C72" s="101">
        <f t="shared" si="19"/>
        <v>3500</v>
      </c>
      <c r="D72" s="102"/>
      <c r="E72" s="102"/>
      <c r="F72" s="102">
        <v>3500</v>
      </c>
      <c r="G72" s="103"/>
      <c r="H72" s="99"/>
      <c r="I72" s="99"/>
      <c r="J72" s="99"/>
      <c r="K72" s="103" t="s">
        <v>722</v>
      </c>
    </row>
    <row r="73" spans="1:20">
      <c r="A73" s="18"/>
      <c r="B73" s="176"/>
      <c r="C73" s="123"/>
      <c r="D73" s="177"/>
      <c r="E73" s="177"/>
      <c r="F73" s="177"/>
      <c r="G73" s="29"/>
      <c r="H73" s="160"/>
      <c r="I73" s="160"/>
      <c r="J73" s="160"/>
      <c r="K73" s="29"/>
    </row>
    <row r="74" spans="1:20" s="81" customFormat="1" ht="15">
      <c r="A74" s="149" t="s">
        <v>748</v>
      </c>
      <c r="B74" s="150" t="s">
        <v>701</v>
      </c>
      <c r="C74" s="151">
        <f>C75+C83+C86</f>
        <v>98500</v>
      </c>
      <c r="D74" s="151">
        <f>D75+D83+D86</f>
        <v>63000</v>
      </c>
      <c r="E74" s="151">
        <f>E75+E83+E86</f>
        <v>32000</v>
      </c>
      <c r="F74" s="151">
        <f>F75+F83+F86</f>
        <v>3500</v>
      </c>
      <c r="G74" s="152"/>
      <c r="H74" s="153"/>
      <c r="I74" s="153"/>
      <c r="J74" s="153"/>
      <c r="K74" s="173"/>
      <c r="L74" s="174">
        <f>D74+E74+F74</f>
        <v>98500</v>
      </c>
    </row>
    <row r="75" spans="1:20" ht="15.75" customHeight="1">
      <c r="A75" s="154" t="s">
        <v>218</v>
      </c>
      <c r="B75" s="155" t="s">
        <v>461</v>
      </c>
      <c r="C75" s="156">
        <f>SUM(C76:C82)</f>
        <v>63000</v>
      </c>
      <c r="D75" s="156">
        <f>SUM(D76:D82)</f>
        <v>63000</v>
      </c>
      <c r="E75" s="156">
        <f>SUM(E76:E82)</f>
        <v>0</v>
      </c>
      <c r="F75" s="156">
        <f>SUM(F76:F82)</f>
        <v>0</v>
      </c>
      <c r="G75" s="157"/>
      <c r="H75" s="158"/>
      <c r="I75" s="158"/>
      <c r="J75" s="158"/>
      <c r="K75" s="175"/>
    </row>
    <row r="76" spans="1:20" s="1" customFormat="1" ht="67.5" customHeight="1">
      <c r="A76" s="99">
        <v>1</v>
      </c>
      <c r="B76" s="100" t="s">
        <v>749</v>
      </c>
      <c r="C76" s="101">
        <f>D76+E76+F76</f>
        <v>18000</v>
      </c>
      <c r="D76" s="102">
        <v>18000</v>
      </c>
      <c r="E76" s="102"/>
      <c r="F76" s="102"/>
      <c r="G76" s="103" t="s">
        <v>750</v>
      </c>
      <c r="H76" s="103">
        <v>2026</v>
      </c>
      <c r="I76" s="103">
        <v>2026</v>
      </c>
      <c r="J76" s="103">
        <v>2027</v>
      </c>
      <c r="K76" s="103" t="s">
        <v>712</v>
      </c>
      <c r="L76" s="167"/>
      <c r="S76" s="1">
        <v>2000</v>
      </c>
      <c r="T76" s="1">
        <f>S76*3.5*U79+S76*3.5*U80+1500</f>
        <v>1500</v>
      </c>
    </row>
    <row r="77" spans="1:20" s="1" customFormat="1" ht="46">
      <c r="A77" s="134">
        <v>2</v>
      </c>
      <c r="B77" s="100" t="s">
        <v>751</v>
      </c>
      <c r="C77" s="101">
        <f t="shared" ref="C77:C82" si="20">D77+E77+F77</f>
        <v>16000</v>
      </c>
      <c r="D77" s="107">
        <v>16000</v>
      </c>
      <c r="E77" s="107"/>
      <c r="F77" s="107"/>
      <c r="G77" s="108" t="s">
        <v>752</v>
      </c>
      <c r="H77" s="133">
        <v>2030</v>
      </c>
      <c r="I77" s="133">
        <v>2030</v>
      </c>
      <c r="J77" s="133">
        <v>2030</v>
      </c>
      <c r="K77" s="103" t="s">
        <v>727</v>
      </c>
      <c r="N77" s="1">
        <f>2700*15*0.3</f>
        <v>12150</v>
      </c>
    </row>
    <row r="78" spans="1:20" s="1" customFormat="1" ht="31">
      <c r="A78" s="134">
        <v>3</v>
      </c>
      <c r="B78" s="104" t="s">
        <v>607</v>
      </c>
      <c r="C78" s="101">
        <f t="shared" si="20"/>
        <v>6000</v>
      </c>
      <c r="D78" s="178">
        <v>6000</v>
      </c>
      <c r="E78" s="107"/>
      <c r="F78" s="107"/>
      <c r="G78" s="103" t="s">
        <v>753</v>
      </c>
      <c r="H78" s="133"/>
      <c r="I78" s="133"/>
      <c r="J78" s="133"/>
      <c r="K78" s="103" t="s">
        <v>722</v>
      </c>
    </row>
    <row r="79" spans="1:20" s="1" customFormat="1" ht="23">
      <c r="A79" s="134">
        <v>4</v>
      </c>
      <c r="B79" s="100" t="s">
        <v>482</v>
      </c>
      <c r="C79" s="101">
        <f t="shared" si="20"/>
        <v>15000</v>
      </c>
      <c r="D79" s="102">
        <v>15000</v>
      </c>
      <c r="E79" s="107"/>
      <c r="F79" s="107"/>
      <c r="G79" s="108" t="s">
        <v>698</v>
      </c>
      <c r="H79" s="133">
        <v>2030</v>
      </c>
      <c r="I79" s="133">
        <v>2030</v>
      </c>
      <c r="J79" s="133">
        <v>2030</v>
      </c>
      <c r="K79" s="103" t="s">
        <v>722</v>
      </c>
      <c r="N79" s="1">
        <f>2.5*5.5*1.1</f>
        <v>15.125000000000002</v>
      </c>
    </row>
    <row r="80" spans="1:20" s="1" customFormat="1" ht="23">
      <c r="A80" s="134">
        <v>5</v>
      </c>
      <c r="B80" s="100" t="s">
        <v>484</v>
      </c>
      <c r="C80" s="101">
        <f t="shared" si="20"/>
        <v>8000</v>
      </c>
      <c r="D80" s="121">
        <v>8000</v>
      </c>
      <c r="E80" s="107"/>
      <c r="F80" s="107"/>
      <c r="G80" s="108" t="s">
        <v>699</v>
      </c>
      <c r="H80" s="133">
        <v>2030</v>
      </c>
      <c r="I80" s="133">
        <v>2030</v>
      </c>
      <c r="J80" s="133">
        <v>2030</v>
      </c>
      <c r="K80" s="103" t="s">
        <v>722</v>
      </c>
      <c r="N80" s="1">
        <f>1.7*5.5*1.1</f>
        <v>10.285</v>
      </c>
    </row>
    <row r="81" spans="1:20">
      <c r="A81" s="18">
        <v>6</v>
      </c>
      <c r="B81" s="15" t="s">
        <v>671</v>
      </c>
      <c r="C81" s="123">
        <f t="shared" si="20"/>
        <v>0</v>
      </c>
      <c r="D81" s="135"/>
      <c r="E81" s="135"/>
      <c r="F81" s="135"/>
      <c r="G81" s="29" t="s">
        <v>702</v>
      </c>
      <c r="H81" s="29"/>
      <c r="I81" s="29"/>
      <c r="J81" s="29"/>
      <c r="K81" s="29"/>
      <c r="P81" s="8">
        <f>1*1.1*5.5</f>
        <v>6.0500000000000007</v>
      </c>
    </row>
    <row r="82" spans="1:20">
      <c r="A82" s="21"/>
      <c r="B82" s="21"/>
      <c r="C82" s="123">
        <f t="shared" si="20"/>
        <v>0</v>
      </c>
      <c r="D82" s="137"/>
      <c r="E82" s="137"/>
      <c r="F82" s="137"/>
      <c r="G82" s="20"/>
      <c r="H82" s="136"/>
      <c r="I82" s="136"/>
      <c r="J82" s="136"/>
      <c r="K82" s="68"/>
    </row>
    <row r="83" spans="1:20" ht="15.75" customHeight="1">
      <c r="A83" s="43" t="s">
        <v>486</v>
      </c>
      <c r="B83" s="44" t="s">
        <v>673</v>
      </c>
      <c r="C83" s="118">
        <f>SUM(C84:C85)</f>
        <v>32000</v>
      </c>
      <c r="D83" s="118">
        <f>SUM(D84:D85)</f>
        <v>0</v>
      </c>
      <c r="E83" s="118">
        <f>SUM(E84:E85)</f>
        <v>32000</v>
      </c>
      <c r="F83" s="118">
        <f>SUM(F84:F85)</f>
        <v>0</v>
      </c>
      <c r="G83" s="45"/>
      <c r="H83" s="119"/>
      <c r="I83" s="119"/>
      <c r="J83" s="119"/>
      <c r="K83" s="73"/>
      <c r="N83" s="8">
        <f>150*2*3</f>
        <v>900</v>
      </c>
    </row>
    <row r="84" spans="1:20" s="1" customFormat="1" ht="57.5">
      <c r="A84" s="134">
        <v>1</v>
      </c>
      <c r="B84" s="100" t="s">
        <v>703</v>
      </c>
      <c r="C84" s="101">
        <f t="shared" ref="C84:C85" si="21">D84+E84+F84</f>
        <v>32000</v>
      </c>
      <c r="D84" s="107"/>
      <c r="E84" s="107">
        <v>32000</v>
      </c>
      <c r="F84" s="107"/>
      <c r="G84" s="179" t="s">
        <v>527</v>
      </c>
      <c r="H84" s="133">
        <v>2030</v>
      </c>
      <c r="I84" s="133">
        <v>2030</v>
      </c>
      <c r="J84" s="133">
        <v>2030</v>
      </c>
      <c r="K84" s="103" t="s">
        <v>754</v>
      </c>
      <c r="T84" s="1">
        <f>7*300*15</f>
        <v>31500</v>
      </c>
    </row>
    <row r="85" spans="1:20">
      <c r="A85" s="21"/>
      <c r="B85" s="21"/>
      <c r="C85" s="123">
        <f t="shared" si="21"/>
        <v>0</v>
      </c>
      <c r="D85" s="137"/>
      <c r="E85" s="137"/>
      <c r="F85" s="137"/>
      <c r="G85" s="68"/>
      <c r="H85" s="21"/>
      <c r="I85" s="21"/>
      <c r="J85" s="21"/>
      <c r="K85" s="68"/>
    </row>
    <row r="86" spans="1:20" ht="15.75" customHeight="1">
      <c r="A86" s="144" t="s">
        <v>492</v>
      </c>
      <c r="B86" s="145" t="s">
        <v>678</v>
      </c>
      <c r="C86" s="146">
        <f>SUM(C87:C88)</f>
        <v>3500</v>
      </c>
      <c r="D86" s="146">
        <f t="shared" ref="D86:F86" si="22">SUM(D87:D88)</f>
        <v>0</v>
      </c>
      <c r="E86" s="146">
        <f t="shared" si="22"/>
        <v>0</v>
      </c>
      <c r="F86" s="146">
        <f t="shared" si="22"/>
        <v>3500</v>
      </c>
      <c r="G86" s="147"/>
      <c r="H86" s="148"/>
      <c r="I86" s="148"/>
      <c r="J86" s="148"/>
      <c r="K86" s="172"/>
      <c r="O86" s="8">
        <f>4*5.5*1.1</f>
        <v>24.200000000000003</v>
      </c>
    </row>
    <row r="87" spans="1:20" s="1" customFormat="1" ht="56.25" customHeight="1">
      <c r="A87" s="99">
        <v>1</v>
      </c>
      <c r="B87" s="100" t="s">
        <v>539</v>
      </c>
      <c r="C87" s="101">
        <f t="shared" ref="C87:C88" si="23">D87+E87+F87</f>
        <v>1500</v>
      </c>
      <c r="D87" s="102"/>
      <c r="E87" s="102"/>
      <c r="F87" s="102">
        <v>1500</v>
      </c>
      <c r="G87" s="103"/>
      <c r="H87" s="133">
        <v>2030</v>
      </c>
      <c r="I87" s="133">
        <v>2030</v>
      </c>
      <c r="J87" s="133">
        <v>2030</v>
      </c>
      <c r="K87" s="103" t="s">
        <v>722</v>
      </c>
      <c r="N87" s="1">
        <v>3.5</v>
      </c>
      <c r="O87" s="1">
        <v>0.4</v>
      </c>
      <c r="P87" s="1">
        <f>O62*N87*O87</f>
        <v>0</v>
      </c>
      <c r="S87" s="1">
        <f>372/6.5</f>
        <v>57.230769230769234</v>
      </c>
    </row>
    <row r="88" spans="1:20" s="1" customFormat="1" ht="34.5">
      <c r="A88" s="99">
        <v>2</v>
      </c>
      <c r="B88" s="100" t="s">
        <v>540</v>
      </c>
      <c r="C88" s="101">
        <f t="shared" si="23"/>
        <v>2000</v>
      </c>
      <c r="D88" s="102"/>
      <c r="E88" s="102"/>
      <c r="F88" s="102">
        <v>2000</v>
      </c>
      <c r="G88" s="103"/>
      <c r="H88" s="133">
        <v>2030</v>
      </c>
      <c r="I88" s="133">
        <v>2030</v>
      </c>
      <c r="J88" s="133">
        <v>2030</v>
      </c>
      <c r="K88" s="103" t="s">
        <v>739</v>
      </c>
      <c r="S88" s="1">
        <f>S87/42</f>
        <v>1.3626373626373627</v>
      </c>
    </row>
    <row r="89" spans="1:20" ht="87" customHeight="1">
      <c r="G89" s="6"/>
      <c r="H89" s="3"/>
      <c r="I89" s="3"/>
      <c r="J89" s="3"/>
    </row>
  </sheetData>
  <mergeCells count="14">
    <mergeCell ref="A1:K1"/>
    <mergeCell ref="A2:K2"/>
    <mergeCell ref="A3:K3"/>
    <mergeCell ref="C4:F4"/>
    <mergeCell ref="I4:J4"/>
    <mergeCell ref="H4:H6"/>
    <mergeCell ref="I5:I6"/>
    <mergeCell ref="J5:J6"/>
    <mergeCell ref="K4:K6"/>
    <mergeCell ref="D5:F5"/>
    <mergeCell ref="A4:A6"/>
    <mergeCell ref="B4:B6"/>
    <mergeCell ref="C5:C6"/>
    <mergeCell ref="G4:G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ColWidth="9"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ColWidth="9" defaultRowHeight="1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83"/>
  <sheetViews>
    <sheetView topLeftCell="A21" zoomScale="70" zoomScaleNormal="70" workbookViewId="0">
      <selection activeCell="G44" sqref="G44"/>
    </sheetView>
  </sheetViews>
  <sheetFormatPr defaultColWidth="9.1796875" defaultRowHeight="15.5"/>
  <cols>
    <col min="1" max="1" width="6.7265625" style="294" customWidth="1"/>
    <col min="2" max="2" width="11.81640625" style="295" customWidth="1"/>
    <col min="3" max="3" width="10.7265625" style="295" customWidth="1"/>
    <col min="4" max="4" width="10.26953125" style="294" customWidth="1"/>
    <col min="5" max="5" width="26.7265625" style="295" customWidth="1"/>
    <col min="6" max="6" width="12.54296875" style="295" customWidth="1"/>
    <col min="7" max="9" width="10.7265625" style="295" customWidth="1"/>
    <col min="10" max="10" width="13.7265625" style="294" customWidth="1"/>
    <col min="11" max="12" width="10.7265625" style="294" customWidth="1"/>
    <col min="13" max="13" width="12.1796875" style="295" customWidth="1"/>
    <col min="14" max="15" width="10.7265625" style="295" customWidth="1"/>
    <col min="16" max="16" width="10.7265625" style="294" customWidth="1"/>
    <col min="17" max="18" width="10.7265625" style="295" customWidth="1"/>
    <col min="19" max="22" width="13.7265625" style="295" customWidth="1"/>
    <col min="23" max="24" width="10.7265625" style="295" customWidth="1"/>
    <col min="25" max="27" width="11.7265625" style="295" customWidth="1"/>
    <col min="28" max="42" width="10.7265625" style="295" customWidth="1"/>
    <col min="43" max="43" width="10.7265625" style="292" customWidth="1"/>
    <col min="44" max="16384" width="9.1796875" style="295"/>
  </cols>
  <sheetData>
    <row r="1" spans="1:43" ht="41.25" customHeight="1">
      <c r="A1" s="489" t="s">
        <v>95</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490"/>
      <c r="AK1" s="490"/>
      <c r="AL1" s="490"/>
      <c r="AM1" s="490"/>
      <c r="AN1" s="490"/>
      <c r="AO1" s="490"/>
      <c r="AP1" s="490"/>
      <c r="AQ1" s="490"/>
    </row>
    <row r="2" spans="1:43" ht="41.25" customHeight="1">
      <c r="A2" s="489" t="s">
        <v>96</v>
      </c>
      <c r="B2" s="490"/>
      <c r="C2" s="490"/>
      <c r="D2" s="490"/>
      <c r="E2" s="490"/>
      <c r="F2" s="490"/>
      <c r="G2" s="490"/>
      <c r="H2" s="490"/>
      <c r="I2" s="490"/>
      <c r="J2" s="490"/>
      <c r="K2" s="490"/>
      <c r="L2" s="490"/>
      <c r="M2" s="490"/>
      <c r="N2" s="490"/>
      <c r="O2" s="490"/>
      <c r="P2" s="490"/>
      <c r="Q2" s="490"/>
      <c r="R2" s="490"/>
      <c r="S2" s="490"/>
      <c r="T2" s="490"/>
      <c r="U2" s="490"/>
      <c r="V2" s="490"/>
      <c r="W2" s="490"/>
      <c r="X2" s="490"/>
      <c r="Y2" s="490"/>
      <c r="Z2" s="490"/>
      <c r="AA2" s="490"/>
      <c r="AB2" s="490"/>
      <c r="AC2" s="490"/>
      <c r="AD2" s="490"/>
      <c r="AE2" s="490"/>
      <c r="AF2" s="490"/>
      <c r="AG2" s="490"/>
      <c r="AH2" s="490"/>
      <c r="AI2" s="490"/>
      <c r="AJ2" s="490"/>
      <c r="AK2" s="490"/>
      <c r="AL2" s="490"/>
      <c r="AM2" s="490"/>
      <c r="AN2" s="490"/>
      <c r="AO2" s="490"/>
      <c r="AP2" s="490"/>
      <c r="AQ2" s="490"/>
    </row>
    <row r="3" spans="1:43" ht="33" customHeight="1">
      <c r="A3" s="491" t="s">
        <v>2</v>
      </c>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c r="AJ3" s="492"/>
      <c r="AK3" s="492"/>
      <c r="AL3" s="492"/>
      <c r="AM3" s="492"/>
      <c r="AN3" s="492"/>
      <c r="AO3" s="492"/>
      <c r="AP3" s="492"/>
      <c r="AQ3" s="492"/>
    </row>
    <row r="4" spans="1:43" s="292" customFormat="1" ht="40.5" customHeight="1">
      <c r="A4" s="493" t="s">
        <v>3</v>
      </c>
      <c r="B4" s="511" t="s">
        <v>4</v>
      </c>
      <c r="C4" s="511" t="s">
        <v>5</v>
      </c>
      <c r="D4" s="511" t="s">
        <v>97</v>
      </c>
      <c r="E4" s="496" t="s">
        <v>7</v>
      </c>
      <c r="F4" s="493" t="s">
        <v>8</v>
      </c>
      <c r="G4" s="493"/>
      <c r="H4" s="493"/>
      <c r="I4" s="493"/>
      <c r="J4" s="493"/>
      <c r="K4" s="493"/>
      <c r="L4" s="493"/>
      <c r="M4" s="493"/>
      <c r="N4" s="493"/>
      <c r="O4" s="493"/>
      <c r="P4" s="496" t="s">
        <v>9</v>
      </c>
      <c r="Q4" s="496" t="s">
        <v>98</v>
      </c>
      <c r="R4" s="494" t="s">
        <v>99</v>
      </c>
      <c r="S4" s="495"/>
      <c r="T4" s="495"/>
      <c r="U4" s="495"/>
      <c r="V4" s="495"/>
      <c r="W4" s="495"/>
      <c r="X4" s="493" t="s">
        <v>100</v>
      </c>
      <c r="Y4" s="493"/>
      <c r="Z4" s="493"/>
      <c r="AA4" s="493"/>
      <c r="AB4" s="493"/>
      <c r="AC4" s="493" t="s">
        <v>101</v>
      </c>
      <c r="AD4" s="493"/>
      <c r="AE4" s="493"/>
      <c r="AF4" s="493"/>
      <c r="AG4" s="493"/>
      <c r="AH4" s="493"/>
      <c r="AI4" s="493"/>
      <c r="AJ4" s="493"/>
      <c r="AK4" s="493"/>
      <c r="AL4" s="493"/>
      <c r="AM4" s="493"/>
      <c r="AN4" s="493"/>
      <c r="AO4" s="493"/>
      <c r="AP4" s="493"/>
      <c r="AQ4" s="496" t="s">
        <v>14</v>
      </c>
    </row>
    <row r="5" spans="1:43" s="292" customFormat="1" ht="15.75" customHeight="1">
      <c r="A5" s="493"/>
      <c r="B5" s="511"/>
      <c r="C5" s="511"/>
      <c r="D5" s="511"/>
      <c r="E5" s="496"/>
      <c r="F5" s="493" t="s">
        <v>15</v>
      </c>
      <c r="G5" s="493"/>
      <c r="H5" s="493"/>
      <c r="I5" s="493" t="s">
        <v>16</v>
      </c>
      <c r="J5" s="493"/>
      <c r="K5" s="493"/>
      <c r="L5" s="493"/>
      <c r="M5" s="493"/>
      <c r="N5" s="493"/>
      <c r="O5" s="493"/>
      <c r="P5" s="496"/>
      <c r="Q5" s="496"/>
      <c r="R5" s="506" t="s">
        <v>17</v>
      </c>
      <c r="S5" s="497" t="s">
        <v>18</v>
      </c>
      <c r="T5" s="497"/>
      <c r="U5" s="497"/>
      <c r="V5" s="497"/>
      <c r="W5" s="497"/>
      <c r="X5" s="499" t="s">
        <v>17</v>
      </c>
      <c r="Y5" s="498" t="s">
        <v>19</v>
      </c>
      <c r="Z5" s="498"/>
      <c r="AA5" s="498"/>
      <c r="AB5" s="498"/>
      <c r="AC5" s="510" t="s">
        <v>20</v>
      </c>
      <c r="AD5" s="493" t="s">
        <v>21</v>
      </c>
      <c r="AE5" s="493"/>
      <c r="AF5" s="493"/>
      <c r="AG5" s="493"/>
      <c r="AH5" s="493"/>
      <c r="AI5" s="493"/>
      <c r="AJ5" s="493"/>
      <c r="AK5" s="493"/>
      <c r="AL5" s="493"/>
      <c r="AM5" s="493"/>
      <c r="AN5" s="493"/>
      <c r="AO5" s="493"/>
      <c r="AP5" s="493"/>
      <c r="AQ5" s="496"/>
    </row>
    <row r="6" spans="1:43" s="292" customFormat="1" ht="15.75" customHeight="1">
      <c r="A6" s="493"/>
      <c r="B6" s="511"/>
      <c r="C6" s="511"/>
      <c r="D6" s="511"/>
      <c r="E6" s="496"/>
      <c r="F6" s="496" t="s">
        <v>22</v>
      </c>
      <c r="G6" s="503" t="s">
        <v>23</v>
      </c>
      <c r="H6" s="503"/>
      <c r="I6" s="496" t="s">
        <v>24</v>
      </c>
      <c r="J6" s="496" t="s">
        <v>25</v>
      </c>
      <c r="K6" s="496" t="s">
        <v>26</v>
      </c>
      <c r="L6" s="496"/>
      <c r="M6" s="496" t="s">
        <v>22</v>
      </c>
      <c r="N6" s="503" t="s">
        <v>23</v>
      </c>
      <c r="O6" s="503"/>
      <c r="P6" s="496"/>
      <c r="Q6" s="496"/>
      <c r="R6" s="506"/>
      <c r="S6" s="507" t="s">
        <v>27</v>
      </c>
      <c r="T6" s="507" t="s">
        <v>28</v>
      </c>
      <c r="U6" s="507" t="s">
        <v>29</v>
      </c>
      <c r="V6" s="507" t="s">
        <v>30</v>
      </c>
      <c r="W6" s="507" t="s">
        <v>31</v>
      </c>
      <c r="X6" s="499"/>
      <c r="Y6" s="500" t="s">
        <v>32</v>
      </c>
      <c r="Z6" s="500" t="s">
        <v>33</v>
      </c>
      <c r="AA6" s="500" t="s">
        <v>34</v>
      </c>
      <c r="AB6" s="500" t="s">
        <v>35</v>
      </c>
      <c r="AC6" s="510"/>
      <c r="AD6" s="503" t="s">
        <v>36</v>
      </c>
      <c r="AE6" s="504" t="s">
        <v>102</v>
      </c>
      <c r="AF6" s="505"/>
      <c r="AG6" s="505"/>
      <c r="AH6" s="505"/>
      <c r="AI6" s="505"/>
      <c r="AJ6" s="505"/>
      <c r="AK6" s="505"/>
      <c r="AL6" s="505"/>
      <c r="AM6" s="505"/>
      <c r="AN6" s="505"/>
      <c r="AO6" s="505"/>
      <c r="AP6" s="505"/>
      <c r="AQ6" s="496"/>
    </row>
    <row r="7" spans="1:43" s="292" customFormat="1" ht="15.75" customHeight="1">
      <c r="A7" s="493"/>
      <c r="B7" s="511"/>
      <c r="C7" s="511"/>
      <c r="D7" s="511"/>
      <c r="E7" s="496"/>
      <c r="F7" s="496"/>
      <c r="G7" s="503" t="s">
        <v>103</v>
      </c>
      <c r="H7" s="503" t="s">
        <v>104</v>
      </c>
      <c r="I7" s="496"/>
      <c r="J7" s="496"/>
      <c r="K7" s="496" t="s">
        <v>40</v>
      </c>
      <c r="L7" s="496" t="s">
        <v>41</v>
      </c>
      <c r="M7" s="496"/>
      <c r="N7" s="503" t="s">
        <v>103</v>
      </c>
      <c r="O7" s="503" t="s">
        <v>104</v>
      </c>
      <c r="P7" s="496"/>
      <c r="Q7" s="496"/>
      <c r="R7" s="506"/>
      <c r="S7" s="508"/>
      <c r="T7" s="508"/>
      <c r="U7" s="508"/>
      <c r="V7" s="508"/>
      <c r="W7" s="508"/>
      <c r="X7" s="499"/>
      <c r="Y7" s="501"/>
      <c r="Z7" s="501"/>
      <c r="AA7" s="501"/>
      <c r="AB7" s="501"/>
      <c r="AC7" s="510"/>
      <c r="AD7" s="503"/>
      <c r="AE7" s="510" t="s">
        <v>42</v>
      </c>
      <c r="AF7" s="503" t="s">
        <v>43</v>
      </c>
      <c r="AG7" s="503"/>
      <c r="AH7" s="503"/>
      <c r="AI7" s="503"/>
      <c r="AJ7" s="503"/>
      <c r="AK7" s="503"/>
      <c r="AL7" s="503"/>
      <c r="AM7" s="503"/>
      <c r="AN7" s="503"/>
      <c r="AO7" s="503"/>
      <c r="AP7" s="503"/>
      <c r="AQ7" s="496"/>
    </row>
    <row r="8" spans="1:43" s="292" customFormat="1" ht="15.75" customHeight="1">
      <c r="A8" s="493"/>
      <c r="B8" s="511"/>
      <c r="C8" s="511"/>
      <c r="D8" s="511"/>
      <c r="E8" s="496"/>
      <c r="F8" s="496"/>
      <c r="G8" s="503"/>
      <c r="H8" s="503"/>
      <c r="I8" s="496"/>
      <c r="J8" s="496"/>
      <c r="K8" s="496"/>
      <c r="L8" s="496"/>
      <c r="M8" s="496"/>
      <c r="N8" s="503"/>
      <c r="O8" s="503"/>
      <c r="P8" s="496"/>
      <c r="Q8" s="496"/>
      <c r="R8" s="506"/>
      <c r="S8" s="508"/>
      <c r="T8" s="508"/>
      <c r="U8" s="508"/>
      <c r="V8" s="508"/>
      <c r="W8" s="508"/>
      <c r="X8" s="499"/>
      <c r="Y8" s="501"/>
      <c r="Z8" s="501"/>
      <c r="AA8" s="501"/>
      <c r="AB8" s="501"/>
      <c r="AC8" s="510"/>
      <c r="AD8" s="503"/>
      <c r="AE8" s="510"/>
      <c r="AF8" s="497" t="s">
        <v>44</v>
      </c>
      <c r="AG8" s="497"/>
      <c r="AH8" s="497"/>
      <c r="AI8" s="497"/>
      <c r="AJ8" s="497"/>
      <c r="AK8" s="497"/>
      <c r="AL8" s="498" t="s">
        <v>105</v>
      </c>
      <c r="AM8" s="498"/>
      <c r="AN8" s="498"/>
      <c r="AO8" s="498"/>
      <c r="AP8" s="498"/>
      <c r="AQ8" s="496"/>
    </row>
    <row r="9" spans="1:43" s="292" customFormat="1" ht="15.75" customHeight="1">
      <c r="A9" s="493"/>
      <c r="B9" s="511"/>
      <c r="C9" s="511"/>
      <c r="D9" s="511"/>
      <c r="E9" s="496"/>
      <c r="F9" s="496"/>
      <c r="G9" s="503"/>
      <c r="H9" s="503"/>
      <c r="I9" s="496"/>
      <c r="J9" s="496"/>
      <c r="K9" s="496"/>
      <c r="L9" s="496"/>
      <c r="M9" s="496"/>
      <c r="N9" s="503"/>
      <c r="O9" s="503"/>
      <c r="P9" s="496"/>
      <c r="Q9" s="496"/>
      <c r="R9" s="506"/>
      <c r="S9" s="508"/>
      <c r="T9" s="508"/>
      <c r="U9" s="508"/>
      <c r="V9" s="508"/>
      <c r="W9" s="508"/>
      <c r="X9" s="499"/>
      <c r="Y9" s="501"/>
      <c r="Z9" s="501"/>
      <c r="AA9" s="501"/>
      <c r="AB9" s="501"/>
      <c r="AC9" s="510"/>
      <c r="AD9" s="503"/>
      <c r="AE9" s="510"/>
      <c r="AF9" s="506" t="s">
        <v>46</v>
      </c>
      <c r="AG9" s="497" t="s">
        <v>47</v>
      </c>
      <c r="AH9" s="497"/>
      <c r="AI9" s="497"/>
      <c r="AJ9" s="497"/>
      <c r="AK9" s="497"/>
      <c r="AL9" s="499" t="s">
        <v>48</v>
      </c>
      <c r="AM9" s="498" t="s">
        <v>19</v>
      </c>
      <c r="AN9" s="498"/>
      <c r="AO9" s="498"/>
      <c r="AP9" s="498"/>
      <c r="AQ9" s="496"/>
    </row>
    <row r="10" spans="1:43" s="292" customFormat="1" ht="75.75" customHeight="1">
      <c r="A10" s="493"/>
      <c r="B10" s="511"/>
      <c r="C10" s="511"/>
      <c r="D10" s="511"/>
      <c r="E10" s="496"/>
      <c r="F10" s="496"/>
      <c r="G10" s="503"/>
      <c r="H10" s="503"/>
      <c r="I10" s="496"/>
      <c r="J10" s="496"/>
      <c r="K10" s="496"/>
      <c r="L10" s="496"/>
      <c r="M10" s="496"/>
      <c r="N10" s="503"/>
      <c r="O10" s="503"/>
      <c r="P10" s="496"/>
      <c r="Q10" s="496"/>
      <c r="R10" s="506"/>
      <c r="S10" s="509"/>
      <c r="T10" s="509"/>
      <c r="U10" s="509"/>
      <c r="V10" s="509"/>
      <c r="W10" s="509"/>
      <c r="X10" s="499"/>
      <c r="Y10" s="502"/>
      <c r="Z10" s="502"/>
      <c r="AA10" s="502"/>
      <c r="AB10" s="502"/>
      <c r="AC10" s="510"/>
      <c r="AD10" s="503"/>
      <c r="AE10" s="510"/>
      <c r="AF10" s="506"/>
      <c r="AG10" s="344" t="s">
        <v>49</v>
      </c>
      <c r="AH10" s="344" t="s">
        <v>50</v>
      </c>
      <c r="AI10" s="344" t="s">
        <v>51</v>
      </c>
      <c r="AJ10" s="344" t="s">
        <v>52</v>
      </c>
      <c r="AK10" s="344" t="s">
        <v>53</v>
      </c>
      <c r="AL10" s="499"/>
      <c r="AM10" s="427" t="s">
        <v>32</v>
      </c>
      <c r="AN10" s="427" t="s">
        <v>54</v>
      </c>
      <c r="AO10" s="427" t="s">
        <v>34</v>
      </c>
      <c r="AP10" s="427" t="s">
        <v>35</v>
      </c>
      <c r="AQ10" s="496"/>
    </row>
    <row r="11" spans="1:43" ht="28">
      <c r="A11" s="296">
        <v>1</v>
      </c>
      <c r="B11" s="296">
        <v>2</v>
      </c>
      <c r="C11" s="296">
        <v>3</v>
      </c>
      <c r="D11" s="296">
        <v>4</v>
      </c>
      <c r="E11" s="296">
        <v>5</v>
      </c>
      <c r="F11" s="296">
        <v>6</v>
      </c>
      <c r="G11" s="296">
        <v>7</v>
      </c>
      <c r="H11" s="296">
        <v>8</v>
      </c>
      <c r="I11" s="296">
        <v>9</v>
      </c>
      <c r="J11" s="296">
        <v>10</v>
      </c>
      <c r="K11" s="296">
        <v>11</v>
      </c>
      <c r="L11" s="296">
        <v>12</v>
      </c>
      <c r="M11" s="296">
        <v>13</v>
      </c>
      <c r="N11" s="296">
        <v>14</v>
      </c>
      <c r="O11" s="296">
        <v>15</v>
      </c>
      <c r="P11" s="296">
        <v>16</v>
      </c>
      <c r="Q11" s="296">
        <v>17</v>
      </c>
      <c r="R11" s="418" t="s">
        <v>55</v>
      </c>
      <c r="S11" s="418">
        <v>19</v>
      </c>
      <c r="T11" s="418">
        <v>20</v>
      </c>
      <c r="U11" s="418">
        <v>21</v>
      </c>
      <c r="V11" s="418">
        <v>22</v>
      </c>
      <c r="W11" s="418">
        <v>23</v>
      </c>
      <c r="X11" s="419" t="s">
        <v>56</v>
      </c>
      <c r="Y11" s="428">
        <v>25</v>
      </c>
      <c r="Z11" s="428">
        <v>26</v>
      </c>
      <c r="AA11" s="428">
        <v>27</v>
      </c>
      <c r="AB11" s="428">
        <v>28</v>
      </c>
      <c r="AC11" s="296" t="s">
        <v>57</v>
      </c>
      <c r="AD11" s="296">
        <v>30</v>
      </c>
      <c r="AE11" s="296">
        <v>31</v>
      </c>
      <c r="AF11" s="429" t="s">
        <v>58</v>
      </c>
      <c r="AG11" s="418">
        <v>33</v>
      </c>
      <c r="AH11" s="418">
        <v>34</v>
      </c>
      <c r="AI11" s="418">
        <v>35</v>
      </c>
      <c r="AJ11" s="418">
        <v>36</v>
      </c>
      <c r="AK11" s="418">
        <v>37</v>
      </c>
      <c r="AL11" s="433" t="s">
        <v>59</v>
      </c>
      <c r="AM11" s="428">
        <v>39</v>
      </c>
      <c r="AN11" s="428">
        <v>40</v>
      </c>
      <c r="AO11" s="428">
        <v>41</v>
      </c>
      <c r="AP11" s="428">
        <v>42</v>
      </c>
      <c r="AQ11" s="434">
        <v>43</v>
      </c>
    </row>
    <row r="12" spans="1:43" s="293" customFormat="1">
      <c r="A12" s="297"/>
      <c r="B12" s="298"/>
      <c r="C12" s="298"/>
      <c r="D12" s="297"/>
      <c r="E12" s="297" t="s">
        <v>60</v>
      </c>
      <c r="F12" s="299"/>
      <c r="G12" s="298"/>
      <c r="H12" s="298"/>
      <c r="I12" s="298"/>
      <c r="J12" s="297"/>
      <c r="K12" s="297"/>
      <c r="L12" s="297"/>
      <c r="M12" s="298"/>
      <c r="N12" s="298"/>
      <c r="O12" s="298"/>
      <c r="P12" s="297"/>
      <c r="Q12" s="298"/>
      <c r="R12" s="345"/>
      <c r="S12" s="345"/>
      <c r="T12" s="345"/>
      <c r="U12" s="345"/>
      <c r="V12" s="345"/>
      <c r="W12" s="345"/>
      <c r="X12" s="420"/>
      <c r="Y12" s="420"/>
      <c r="Z12" s="420"/>
      <c r="AA12" s="420"/>
      <c r="AB12" s="420"/>
      <c r="AC12" s="298"/>
      <c r="AD12" s="298"/>
      <c r="AE12" s="298"/>
      <c r="AF12" s="345"/>
      <c r="AG12" s="345"/>
      <c r="AH12" s="345"/>
      <c r="AI12" s="345"/>
      <c r="AJ12" s="345"/>
      <c r="AK12" s="345"/>
      <c r="AL12" s="420"/>
      <c r="AM12" s="420"/>
      <c r="AN12" s="420"/>
      <c r="AO12" s="420"/>
      <c r="AP12" s="420"/>
      <c r="AQ12" s="349"/>
    </row>
    <row r="13" spans="1:43" s="293" customFormat="1" ht="84" customHeight="1">
      <c r="A13" s="297" t="s">
        <v>61</v>
      </c>
      <c r="B13" s="298"/>
      <c r="C13" s="298"/>
      <c r="D13" s="297"/>
      <c r="E13" s="300" t="s">
        <v>62</v>
      </c>
      <c r="F13" s="299"/>
      <c r="G13" s="298"/>
      <c r="H13" s="298"/>
      <c r="I13" s="298"/>
      <c r="J13" s="297"/>
      <c r="K13" s="297"/>
      <c r="L13" s="297"/>
      <c r="M13" s="298"/>
      <c r="N13" s="298"/>
      <c r="O13" s="298"/>
      <c r="P13" s="297"/>
      <c r="Q13" s="298"/>
      <c r="R13" s="345"/>
      <c r="S13" s="345"/>
      <c r="T13" s="345"/>
      <c r="U13" s="345"/>
      <c r="V13" s="345"/>
      <c r="W13" s="345"/>
      <c r="X13" s="420"/>
      <c r="Y13" s="420"/>
      <c r="Z13" s="420"/>
      <c r="AA13" s="420"/>
      <c r="AB13" s="420"/>
      <c r="AC13" s="298"/>
      <c r="AD13" s="298"/>
      <c r="AE13" s="298"/>
      <c r="AF13" s="345"/>
      <c r="AG13" s="345"/>
      <c r="AH13" s="345"/>
      <c r="AI13" s="345"/>
      <c r="AJ13" s="345"/>
      <c r="AK13" s="345"/>
      <c r="AL13" s="420"/>
      <c r="AM13" s="420"/>
      <c r="AN13" s="420"/>
      <c r="AO13" s="420"/>
      <c r="AP13" s="420"/>
      <c r="AQ13" s="349"/>
    </row>
    <row r="14" spans="1:43" ht="47.25" customHeight="1">
      <c r="A14" s="301"/>
      <c r="B14" s="302" t="s">
        <v>63</v>
      </c>
      <c r="C14" s="302">
        <v>7895798</v>
      </c>
      <c r="D14" s="301"/>
      <c r="E14" s="303" t="s">
        <v>106</v>
      </c>
      <c r="F14" s="304" t="s">
        <v>107</v>
      </c>
      <c r="G14" s="305">
        <v>400000</v>
      </c>
      <c r="H14" s="305">
        <v>400000</v>
      </c>
      <c r="I14" s="301" t="s">
        <v>108</v>
      </c>
      <c r="J14" s="301" t="s">
        <v>109</v>
      </c>
      <c r="K14" s="301">
        <v>2020</v>
      </c>
      <c r="L14" s="301">
        <v>2024</v>
      </c>
      <c r="M14" s="304" t="s">
        <v>110</v>
      </c>
      <c r="N14" s="305">
        <v>400000</v>
      </c>
      <c r="O14" s="305">
        <v>400000</v>
      </c>
      <c r="P14" s="301">
        <v>2019</v>
      </c>
      <c r="Q14" s="305">
        <f>SUBTOTAL(9,Q16:Q19)</f>
        <v>270000</v>
      </c>
      <c r="R14" s="346">
        <f t="shared" ref="R14:AP14" si="0">SUBTOTAL(9,R16:R19)</f>
        <v>270000</v>
      </c>
      <c r="S14" s="346">
        <f t="shared" si="0"/>
        <v>50000</v>
      </c>
      <c r="T14" s="346">
        <f t="shared" si="0"/>
        <v>60000</v>
      </c>
      <c r="U14" s="346">
        <f t="shared" si="0"/>
        <v>50000</v>
      </c>
      <c r="V14" s="346">
        <f t="shared" si="0"/>
        <v>110000</v>
      </c>
      <c r="W14" s="346">
        <f t="shared" si="0"/>
        <v>0</v>
      </c>
      <c r="X14" s="421">
        <f t="shared" si="0"/>
        <v>6000</v>
      </c>
      <c r="Y14" s="421">
        <f t="shared" si="0"/>
        <v>0</v>
      </c>
      <c r="Z14" s="421">
        <f t="shared" si="0"/>
        <v>5000</v>
      </c>
      <c r="AA14" s="421">
        <f t="shared" si="0"/>
        <v>1000</v>
      </c>
      <c r="AB14" s="421">
        <f t="shared" si="0"/>
        <v>0</v>
      </c>
      <c r="AC14" s="305">
        <f t="shared" si="0"/>
        <v>370000</v>
      </c>
      <c r="AD14" s="305">
        <f t="shared" si="0"/>
        <v>100000</v>
      </c>
      <c r="AE14" s="305">
        <f t="shared" si="0"/>
        <v>270000</v>
      </c>
      <c r="AF14" s="346">
        <f t="shared" si="0"/>
        <v>264000</v>
      </c>
      <c r="AG14" s="346">
        <f t="shared" si="0"/>
        <v>50000</v>
      </c>
      <c r="AH14" s="346">
        <f t="shared" si="0"/>
        <v>55000</v>
      </c>
      <c r="AI14" s="346">
        <f t="shared" si="0"/>
        <v>49000</v>
      </c>
      <c r="AJ14" s="346">
        <f t="shared" si="0"/>
        <v>110000</v>
      </c>
      <c r="AK14" s="346">
        <f t="shared" si="0"/>
        <v>0</v>
      </c>
      <c r="AL14" s="421">
        <f t="shared" si="0"/>
        <v>6000</v>
      </c>
      <c r="AM14" s="421">
        <f t="shared" si="0"/>
        <v>0</v>
      </c>
      <c r="AN14" s="421">
        <f t="shared" si="0"/>
        <v>5000</v>
      </c>
      <c r="AO14" s="421">
        <f t="shared" si="0"/>
        <v>1000</v>
      </c>
      <c r="AP14" s="421">
        <f t="shared" si="0"/>
        <v>0</v>
      </c>
      <c r="AQ14" s="349"/>
    </row>
    <row r="15" spans="1:43" s="293" customFormat="1">
      <c r="A15" s="297"/>
      <c r="B15" s="298"/>
      <c r="C15" s="298"/>
      <c r="D15" s="297"/>
      <c r="E15" s="412" t="s">
        <v>67</v>
      </c>
      <c r="F15" s="413"/>
      <c r="G15" s="298"/>
      <c r="H15" s="298"/>
      <c r="I15" s="298"/>
      <c r="J15" s="297"/>
      <c r="K15" s="297"/>
      <c r="L15" s="297"/>
      <c r="M15" s="413"/>
      <c r="N15" s="298"/>
      <c r="O15" s="298"/>
      <c r="P15" s="297"/>
      <c r="Q15" s="298"/>
      <c r="R15" s="345"/>
      <c r="S15" s="345"/>
      <c r="T15" s="345"/>
      <c r="U15" s="345"/>
      <c r="V15" s="345"/>
      <c r="W15" s="345"/>
      <c r="X15" s="420"/>
      <c r="Y15" s="420"/>
      <c r="Z15" s="420"/>
      <c r="AA15" s="420"/>
      <c r="AB15" s="420"/>
      <c r="AC15" s="298"/>
      <c r="AD15" s="298"/>
      <c r="AE15" s="298"/>
      <c r="AF15" s="345"/>
      <c r="AG15" s="345"/>
      <c r="AH15" s="345"/>
      <c r="AI15" s="345"/>
      <c r="AJ15" s="345"/>
      <c r="AK15" s="345"/>
      <c r="AL15" s="420"/>
      <c r="AM15" s="420"/>
      <c r="AN15" s="420"/>
      <c r="AO15" s="420"/>
      <c r="AP15" s="420"/>
      <c r="AQ15" s="349"/>
    </row>
    <row r="16" spans="1:43" s="411" customFormat="1" ht="31">
      <c r="A16" s="414"/>
      <c r="B16" s="415"/>
      <c r="C16" s="415"/>
      <c r="D16" s="414" t="s">
        <v>111</v>
      </c>
      <c r="E16" s="415" t="s">
        <v>112</v>
      </c>
      <c r="F16" s="416"/>
      <c r="G16" s="415"/>
      <c r="H16" s="415"/>
      <c r="I16" s="415"/>
      <c r="J16" s="414"/>
      <c r="K16" s="414"/>
      <c r="L16" s="414"/>
      <c r="M16" s="416"/>
      <c r="N16" s="415"/>
      <c r="O16" s="415"/>
      <c r="P16" s="414"/>
      <c r="Q16" s="422">
        <v>200000</v>
      </c>
      <c r="R16" s="423">
        <f>SUM(S16:W16)</f>
        <v>200000</v>
      </c>
      <c r="S16" s="423">
        <v>50000</v>
      </c>
      <c r="T16" s="423">
        <v>50000</v>
      </c>
      <c r="U16" s="423">
        <v>50000</v>
      </c>
      <c r="V16" s="423">
        <v>50000</v>
      </c>
      <c r="W16" s="424"/>
      <c r="X16" s="425">
        <f>SUM(Y16:AB16)</f>
        <v>6000</v>
      </c>
      <c r="Y16" s="430"/>
      <c r="Z16" s="425">
        <v>5000</v>
      </c>
      <c r="AA16" s="425">
        <v>1000</v>
      </c>
      <c r="AB16" s="430"/>
      <c r="AC16" s="422">
        <f>AD16+AE16</f>
        <v>300000</v>
      </c>
      <c r="AD16" s="422">
        <v>100000</v>
      </c>
      <c r="AE16" s="422">
        <f>AF16+AL16</f>
        <v>200000</v>
      </c>
      <c r="AF16" s="423">
        <f>SUM(AG16:AK16)</f>
        <v>194000</v>
      </c>
      <c r="AG16" s="423">
        <v>50000</v>
      </c>
      <c r="AH16" s="423">
        <v>45000</v>
      </c>
      <c r="AI16" s="423">
        <v>49000</v>
      </c>
      <c r="AJ16" s="423">
        <v>50000</v>
      </c>
      <c r="AK16" s="424"/>
      <c r="AL16" s="425">
        <f>SUM(AM16:AP16)</f>
        <v>6000</v>
      </c>
      <c r="AM16" s="430"/>
      <c r="AN16" s="425">
        <v>5000</v>
      </c>
      <c r="AO16" s="425">
        <v>1000</v>
      </c>
      <c r="AP16" s="430"/>
      <c r="AQ16" s="435"/>
    </row>
    <row r="17" spans="1:43" s="411" customFormat="1" ht="31">
      <c r="A17" s="414"/>
      <c r="B17" s="415"/>
      <c r="C17" s="415"/>
      <c r="D17" s="414" t="s">
        <v>113</v>
      </c>
      <c r="E17" s="417" t="s">
        <v>114</v>
      </c>
      <c r="F17" s="416"/>
      <c r="G17" s="415"/>
      <c r="H17" s="415"/>
      <c r="I17" s="415"/>
      <c r="J17" s="414"/>
      <c r="K17" s="414"/>
      <c r="L17" s="414"/>
      <c r="M17" s="416"/>
      <c r="N17" s="415"/>
      <c r="O17" s="415"/>
      <c r="P17" s="414"/>
      <c r="Q17" s="422">
        <v>10000</v>
      </c>
      <c r="R17" s="423">
        <f>SUM(S17:W17)</f>
        <v>10000</v>
      </c>
      <c r="S17" s="424"/>
      <c r="T17" s="423">
        <v>10000</v>
      </c>
      <c r="U17" s="424"/>
      <c r="V17" s="424"/>
      <c r="W17" s="424"/>
      <c r="X17" s="425">
        <f t="shared" ref="X17:X63" si="1">SUM(Y17:AB17)</f>
        <v>0</v>
      </c>
      <c r="Y17" s="430"/>
      <c r="Z17" s="430"/>
      <c r="AA17" s="430"/>
      <c r="AB17" s="430"/>
      <c r="AC17" s="422">
        <f t="shared" ref="AC17:AC63" si="2">AD17+AE17</f>
        <v>10000</v>
      </c>
      <c r="AD17" s="415"/>
      <c r="AE17" s="422">
        <f t="shared" ref="AE17:AE63" si="3">AF17+AL17</f>
        <v>10000</v>
      </c>
      <c r="AF17" s="423">
        <f t="shared" ref="AF17:AF63" si="4">SUM(AG17:AK17)</f>
        <v>10000</v>
      </c>
      <c r="AG17" s="424"/>
      <c r="AH17" s="423">
        <v>10000</v>
      </c>
      <c r="AI17" s="424"/>
      <c r="AJ17" s="424"/>
      <c r="AK17" s="424"/>
      <c r="AL17" s="425">
        <f t="shared" ref="AL17:AL63" si="5">SUM(AM17:AP17)</f>
        <v>0</v>
      </c>
      <c r="AM17" s="430"/>
      <c r="AN17" s="430"/>
      <c r="AO17" s="430"/>
      <c r="AP17" s="430"/>
      <c r="AQ17" s="435"/>
    </row>
    <row r="18" spans="1:43" s="411" customFormat="1">
      <c r="A18" s="414"/>
      <c r="B18" s="415"/>
      <c r="C18" s="415"/>
      <c r="D18" s="414" t="s">
        <v>115</v>
      </c>
      <c r="E18" s="415" t="s">
        <v>116</v>
      </c>
      <c r="F18" s="416"/>
      <c r="G18" s="415"/>
      <c r="H18" s="415"/>
      <c r="I18" s="415"/>
      <c r="J18" s="414"/>
      <c r="K18" s="414"/>
      <c r="L18" s="414"/>
      <c r="M18" s="416"/>
      <c r="N18" s="415"/>
      <c r="O18" s="415"/>
      <c r="P18" s="414"/>
      <c r="Q18" s="422">
        <v>50000</v>
      </c>
      <c r="R18" s="423">
        <f>SUM(S18:W18)</f>
        <v>50000</v>
      </c>
      <c r="S18" s="424"/>
      <c r="T18" s="424"/>
      <c r="U18" s="424"/>
      <c r="V18" s="423">
        <v>50000</v>
      </c>
      <c r="W18" s="424"/>
      <c r="X18" s="425">
        <f t="shared" si="1"/>
        <v>0</v>
      </c>
      <c r="Y18" s="430"/>
      <c r="Z18" s="430"/>
      <c r="AA18" s="430"/>
      <c r="AB18" s="430"/>
      <c r="AC18" s="422">
        <f t="shared" si="2"/>
        <v>50000</v>
      </c>
      <c r="AD18" s="415"/>
      <c r="AE18" s="422">
        <f t="shared" si="3"/>
        <v>50000</v>
      </c>
      <c r="AF18" s="423">
        <f t="shared" si="4"/>
        <v>50000</v>
      </c>
      <c r="AG18" s="424"/>
      <c r="AH18" s="424"/>
      <c r="AI18" s="424"/>
      <c r="AJ18" s="423">
        <v>50000</v>
      </c>
      <c r="AK18" s="424"/>
      <c r="AL18" s="425">
        <f t="shared" si="5"/>
        <v>0</v>
      </c>
      <c r="AM18" s="430"/>
      <c r="AN18" s="430"/>
      <c r="AO18" s="430"/>
      <c r="AP18" s="430"/>
      <c r="AQ18" s="435"/>
    </row>
    <row r="19" spans="1:43" s="411" customFormat="1" ht="31">
      <c r="A19" s="414"/>
      <c r="B19" s="415"/>
      <c r="C19" s="415"/>
      <c r="D19" s="414" t="s">
        <v>117</v>
      </c>
      <c r="E19" s="415" t="s">
        <v>118</v>
      </c>
      <c r="F19" s="416"/>
      <c r="G19" s="415"/>
      <c r="H19" s="415"/>
      <c r="I19" s="415"/>
      <c r="J19" s="414"/>
      <c r="K19" s="414"/>
      <c r="L19" s="414"/>
      <c r="M19" s="416"/>
      <c r="N19" s="415"/>
      <c r="O19" s="415"/>
      <c r="P19" s="414"/>
      <c r="Q19" s="422">
        <v>10000</v>
      </c>
      <c r="R19" s="423">
        <f>SUM(S19:W19)</f>
        <v>10000</v>
      </c>
      <c r="S19" s="424"/>
      <c r="T19" s="424"/>
      <c r="U19" s="424"/>
      <c r="V19" s="423">
        <v>10000</v>
      </c>
      <c r="W19" s="424"/>
      <c r="X19" s="425">
        <f t="shared" si="1"/>
        <v>0</v>
      </c>
      <c r="Y19" s="430"/>
      <c r="Z19" s="430"/>
      <c r="AA19" s="430"/>
      <c r="AB19" s="430"/>
      <c r="AC19" s="422">
        <f t="shared" si="2"/>
        <v>10000</v>
      </c>
      <c r="AD19" s="415"/>
      <c r="AE19" s="422">
        <f t="shared" si="3"/>
        <v>10000</v>
      </c>
      <c r="AF19" s="423">
        <f t="shared" si="4"/>
        <v>10000</v>
      </c>
      <c r="AG19" s="424"/>
      <c r="AH19" s="424"/>
      <c r="AI19" s="424"/>
      <c r="AJ19" s="423">
        <v>10000</v>
      </c>
      <c r="AK19" s="424"/>
      <c r="AL19" s="425">
        <f t="shared" si="5"/>
        <v>0</v>
      </c>
      <c r="AM19" s="430"/>
      <c r="AN19" s="430"/>
      <c r="AO19" s="430"/>
      <c r="AP19" s="430"/>
      <c r="AQ19" s="435"/>
    </row>
    <row r="20" spans="1:43" s="411" customFormat="1">
      <c r="A20" s="414"/>
      <c r="B20" s="415"/>
      <c r="C20" s="415"/>
      <c r="D20" s="414"/>
      <c r="E20" s="415" t="s">
        <v>119</v>
      </c>
      <c r="F20" s="416"/>
      <c r="G20" s="415"/>
      <c r="H20" s="415"/>
      <c r="I20" s="415"/>
      <c r="J20" s="414"/>
      <c r="K20" s="414"/>
      <c r="L20" s="414"/>
      <c r="M20" s="416"/>
      <c r="N20" s="415"/>
      <c r="O20" s="415"/>
      <c r="P20" s="414"/>
      <c r="Q20" s="422"/>
      <c r="R20" s="423"/>
      <c r="S20" s="424"/>
      <c r="T20" s="424"/>
      <c r="U20" s="424"/>
      <c r="V20" s="423"/>
      <c r="W20" s="424"/>
      <c r="X20" s="425"/>
      <c r="Y20" s="430"/>
      <c r="Z20" s="430"/>
      <c r="AA20" s="430"/>
      <c r="AB20" s="430"/>
      <c r="AC20" s="422"/>
      <c r="AD20" s="415"/>
      <c r="AE20" s="422"/>
      <c r="AF20" s="423"/>
      <c r="AG20" s="424"/>
      <c r="AH20" s="424"/>
      <c r="AI20" s="424"/>
      <c r="AJ20" s="423"/>
      <c r="AK20" s="424"/>
      <c r="AL20" s="425"/>
      <c r="AM20" s="430"/>
      <c r="AN20" s="430"/>
      <c r="AO20" s="430"/>
      <c r="AP20" s="430"/>
      <c r="AQ20" s="435"/>
    </row>
    <row r="21" spans="1:43" ht="67.5" customHeight="1">
      <c r="A21" s="297" t="s">
        <v>75</v>
      </c>
      <c r="B21" s="302"/>
      <c r="C21" s="302"/>
      <c r="D21" s="301"/>
      <c r="E21" s="300" t="s">
        <v>76</v>
      </c>
      <c r="F21" s="304"/>
      <c r="G21" s="302"/>
      <c r="H21" s="302"/>
      <c r="I21" s="302"/>
      <c r="J21" s="301"/>
      <c r="K21" s="301"/>
      <c r="L21" s="301"/>
      <c r="M21" s="304"/>
      <c r="N21" s="302"/>
      <c r="O21" s="302"/>
      <c r="P21" s="301"/>
      <c r="Q21" s="302"/>
      <c r="R21" s="347">
        <f t="shared" ref="R21:R67" si="6">SUM(S21:W21)</f>
        <v>0</v>
      </c>
      <c r="S21" s="348"/>
      <c r="T21" s="348"/>
      <c r="U21" s="348"/>
      <c r="V21" s="348"/>
      <c r="W21" s="348"/>
      <c r="X21" s="426">
        <f t="shared" si="1"/>
        <v>0</v>
      </c>
      <c r="Y21" s="431"/>
      <c r="Z21" s="431"/>
      <c r="AA21" s="431"/>
      <c r="AB21" s="431"/>
      <c r="AC21" s="432">
        <f t="shared" si="2"/>
        <v>0</v>
      </c>
      <c r="AD21" s="302"/>
      <c r="AE21" s="432">
        <f t="shared" si="3"/>
        <v>0</v>
      </c>
      <c r="AF21" s="347">
        <f t="shared" si="4"/>
        <v>0</v>
      </c>
      <c r="AG21" s="348"/>
      <c r="AH21" s="348"/>
      <c r="AI21" s="348"/>
      <c r="AJ21" s="348"/>
      <c r="AK21" s="348"/>
      <c r="AL21" s="426">
        <f t="shared" si="5"/>
        <v>0</v>
      </c>
      <c r="AM21" s="431"/>
      <c r="AN21" s="431"/>
      <c r="AO21" s="431"/>
      <c r="AP21" s="431"/>
      <c r="AQ21" s="349"/>
    </row>
    <row r="22" spans="1:43" ht="52.5" customHeight="1">
      <c r="A22" s="301"/>
      <c r="B22" s="302" t="s">
        <v>63</v>
      </c>
      <c r="C22" s="302">
        <v>7895799</v>
      </c>
      <c r="D22" s="301" t="s">
        <v>111</v>
      </c>
      <c r="E22" s="303" t="s">
        <v>120</v>
      </c>
      <c r="F22" s="304" t="s">
        <v>121</v>
      </c>
      <c r="G22" s="305">
        <v>400000</v>
      </c>
      <c r="H22" s="305">
        <v>200000</v>
      </c>
      <c r="I22" s="301" t="s">
        <v>122</v>
      </c>
      <c r="J22" s="301" t="s">
        <v>123</v>
      </c>
      <c r="K22" s="301">
        <v>2023</v>
      </c>
      <c r="L22" s="301">
        <v>2026</v>
      </c>
      <c r="M22" s="304" t="s">
        <v>124</v>
      </c>
      <c r="N22" s="305">
        <v>400000</v>
      </c>
      <c r="O22" s="305">
        <v>200000</v>
      </c>
      <c r="P22" s="301">
        <v>2023</v>
      </c>
      <c r="Q22" s="305">
        <v>150000</v>
      </c>
      <c r="R22" s="346">
        <f t="shared" si="6"/>
        <v>150000</v>
      </c>
      <c r="S22" s="348"/>
      <c r="T22" s="348"/>
      <c r="U22" s="346">
        <v>20000</v>
      </c>
      <c r="V22" s="346">
        <v>50000</v>
      </c>
      <c r="W22" s="346">
        <v>80000</v>
      </c>
      <c r="X22" s="421">
        <f t="shared" si="1"/>
        <v>2000</v>
      </c>
      <c r="Y22" s="431"/>
      <c r="Z22" s="431"/>
      <c r="AA22" s="421">
        <v>2000</v>
      </c>
      <c r="AB22" s="431"/>
      <c r="AC22" s="305">
        <f t="shared" si="2"/>
        <v>150000</v>
      </c>
      <c r="AD22" s="302"/>
      <c r="AE22" s="305">
        <f t="shared" si="3"/>
        <v>150000</v>
      </c>
      <c r="AF22" s="346">
        <f t="shared" si="4"/>
        <v>148000</v>
      </c>
      <c r="AG22" s="348"/>
      <c r="AH22" s="348"/>
      <c r="AI22" s="346">
        <v>18000</v>
      </c>
      <c r="AJ22" s="346">
        <v>50000</v>
      </c>
      <c r="AK22" s="346">
        <v>80000</v>
      </c>
      <c r="AL22" s="421">
        <f t="shared" si="5"/>
        <v>2000</v>
      </c>
      <c r="AM22" s="431"/>
      <c r="AN22" s="431"/>
      <c r="AO22" s="421">
        <v>2000</v>
      </c>
      <c r="AP22" s="431"/>
      <c r="AQ22" s="349"/>
    </row>
    <row r="23" spans="1:43">
      <c r="A23" s="301"/>
      <c r="B23" s="302"/>
      <c r="C23" s="302"/>
      <c r="D23" s="301"/>
      <c r="E23" s="302" t="s">
        <v>119</v>
      </c>
      <c r="F23" s="304"/>
      <c r="G23" s="302"/>
      <c r="H23" s="302"/>
      <c r="I23" s="302"/>
      <c r="J23" s="301"/>
      <c r="K23" s="301"/>
      <c r="L23" s="301"/>
      <c r="M23" s="304"/>
      <c r="N23" s="302"/>
      <c r="O23" s="302"/>
      <c r="P23" s="301"/>
      <c r="Q23" s="302"/>
      <c r="R23" s="347"/>
      <c r="S23" s="348"/>
      <c r="T23" s="348"/>
      <c r="U23" s="348"/>
      <c r="V23" s="348"/>
      <c r="W23" s="348"/>
      <c r="X23" s="426"/>
      <c r="Y23" s="431"/>
      <c r="Z23" s="431"/>
      <c r="AA23" s="431"/>
      <c r="AB23" s="431"/>
      <c r="AC23" s="432"/>
      <c r="AD23" s="302"/>
      <c r="AE23" s="432"/>
      <c r="AF23" s="347"/>
      <c r="AG23" s="348"/>
      <c r="AH23" s="348"/>
      <c r="AI23" s="348"/>
      <c r="AJ23" s="348"/>
      <c r="AK23" s="348"/>
      <c r="AL23" s="426"/>
      <c r="AM23" s="431"/>
      <c r="AN23" s="431"/>
      <c r="AO23" s="431"/>
      <c r="AP23" s="431"/>
      <c r="AQ23" s="349"/>
    </row>
    <row r="24" spans="1:43" ht="66.75" customHeight="1">
      <c r="A24" s="297" t="s">
        <v>84</v>
      </c>
      <c r="B24" s="302"/>
      <c r="C24" s="302"/>
      <c r="D24" s="301"/>
      <c r="E24" s="300" t="s">
        <v>85</v>
      </c>
      <c r="F24" s="304"/>
      <c r="G24" s="302"/>
      <c r="H24" s="302"/>
      <c r="I24" s="302"/>
      <c r="J24" s="301"/>
      <c r="K24" s="301"/>
      <c r="L24" s="301"/>
      <c r="M24" s="304"/>
      <c r="N24" s="302"/>
      <c r="O24" s="302"/>
      <c r="P24" s="301"/>
      <c r="Q24" s="302"/>
      <c r="R24" s="347">
        <f t="shared" si="6"/>
        <v>0</v>
      </c>
      <c r="S24" s="348"/>
      <c r="T24" s="348"/>
      <c r="U24" s="348"/>
      <c r="V24" s="348"/>
      <c r="W24" s="348"/>
      <c r="X24" s="426">
        <f t="shared" si="1"/>
        <v>0</v>
      </c>
      <c r="Y24" s="431"/>
      <c r="Z24" s="431"/>
      <c r="AA24" s="431"/>
      <c r="AB24" s="431"/>
      <c r="AC24" s="432">
        <f t="shared" si="2"/>
        <v>0</v>
      </c>
      <c r="AD24" s="302"/>
      <c r="AE24" s="432">
        <f t="shared" si="3"/>
        <v>0</v>
      </c>
      <c r="AF24" s="347">
        <f t="shared" si="4"/>
        <v>0</v>
      </c>
      <c r="AG24" s="348"/>
      <c r="AH24" s="348"/>
      <c r="AI24" s="348"/>
      <c r="AJ24" s="348"/>
      <c r="AK24" s="348"/>
      <c r="AL24" s="426">
        <f t="shared" si="5"/>
        <v>0</v>
      </c>
      <c r="AM24" s="431"/>
      <c r="AN24" s="431"/>
      <c r="AO24" s="431"/>
      <c r="AP24" s="431"/>
      <c r="AQ24" s="349"/>
    </row>
    <row r="25" spans="1:43">
      <c r="A25" s="301"/>
      <c r="B25" s="302"/>
      <c r="C25" s="302"/>
      <c r="D25" s="301"/>
      <c r="E25" s="302" t="s">
        <v>125</v>
      </c>
      <c r="F25" s="304"/>
      <c r="G25" s="302"/>
      <c r="H25" s="302"/>
      <c r="I25" s="302"/>
      <c r="J25" s="301"/>
      <c r="K25" s="301"/>
      <c r="L25" s="301"/>
      <c r="M25" s="304"/>
      <c r="N25" s="302"/>
      <c r="O25" s="302"/>
      <c r="P25" s="301"/>
      <c r="Q25" s="302"/>
      <c r="R25" s="347">
        <f t="shared" si="6"/>
        <v>0</v>
      </c>
      <c r="S25" s="348"/>
      <c r="T25" s="348"/>
      <c r="U25" s="348"/>
      <c r="V25" s="348"/>
      <c r="W25" s="348"/>
      <c r="X25" s="426">
        <f t="shared" si="1"/>
        <v>0</v>
      </c>
      <c r="Y25" s="431"/>
      <c r="Z25" s="431"/>
      <c r="AA25" s="431"/>
      <c r="AB25" s="431"/>
      <c r="AC25" s="432">
        <f t="shared" si="2"/>
        <v>0</v>
      </c>
      <c r="AD25" s="302"/>
      <c r="AE25" s="432">
        <f t="shared" si="3"/>
        <v>0</v>
      </c>
      <c r="AF25" s="347">
        <f t="shared" si="4"/>
        <v>0</v>
      </c>
      <c r="AG25" s="348"/>
      <c r="AH25" s="348"/>
      <c r="AI25" s="348"/>
      <c r="AJ25" s="348"/>
      <c r="AK25" s="348"/>
      <c r="AL25" s="426">
        <f t="shared" si="5"/>
        <v>0</v>
      </c>
      <c r="AM25" s="431"/>
      <c r="AN25" s="431"/>
      <c r="AO25" s="431"/>
      <c r="AP25" s="431"/>
      <c r="AQ25" s="349"/>
    </row>
    <row r="26" spans="1:43">
      <c r="A26" s="301"/>
      <c r="B26" s="302"/>
      <c r="C26" s="302"/>
      <c r="D26" s="301"/>
      <c r="E26" s="302" t="s">
        <v>119</v>
      </c>
      <c r="F26" s="304"/>
      <c r="G26" s="302"/>
      <c r="H26" s="302"/>
      <c r="I26" s="302"/>
      <c r="J26" s="301"/>
      <c r="K26" s="301"/>
      <c r="L26" s="301"/>
      <c r="M26" s="304"/>
      <c r="N26" s="302"/>
      <c r="O26" s="302"/>
      <c r="P26" s="301"/>
      <c r="Q26" s="302"/>
      <c r="R26" s="347">
        <f t="shared" si="6"/>
        <v>0</v>
      </c>
      <c r="S26" s="348"/>
      <c r="T26" s="348"/>
      <c r="U26" s="348"/>
      <c r="V26" s="348"/>
      <c r="W26" s="348"/>
      <c r="X26" s="426">
        <f t="shared" si="1"/>
        <v>0</v>
      </c>
      <c r="Y26" s="431"/>
      <c r="Z26" s="431"/>
      <c r="AA26" s="431"/>
      <c r="AB26" s="431"/>
      <c r="AC26" s="432">
        <f t="shared" si="2"/>
        <v>0</v>
      </c>
      <c r="AD26" s="302"/>
      <c r="AE26" s="432">
        <f t="shared" si="3"/>
        <v>0</v>
      </c>
      <c r="AF26" s="347">
        <f t="shared" si="4"/>
        <v>0</v>
      </c>
      <c r="AG26" s="348"/>
      <c r="AH26" s="348"/>
      <c r="AI26" s="348"/>
      <c r="AJ26" s="348"/>
      <c r="AK26" s="348"/>
      <c r="AL26" s="426">
        <f t="shared" si="5"/>
        <v>0</v>
      </c>
      <c r="AM26" s="431"/>
      <c r="AN26" s="431"/>
      <c r="AO26" s="431"/>
      <c r="AP26" s="431"/>
      <c r="AQ26" s="349"/>
    </row>
    <row r="27" spans="1:43" ht="22.5" customHeight="1">
      <c r="A27" s="297" t="s">
        <v>126</v>
      </c>
      <c r="B27" s="302"/>
      <c r="C27" s="302"/>
      <c r="D27" s="301"/>
      <c r="E27" s="300" t="s">
        <v>127</v>
      </c>
      <c r="F27" s="304"/>
      <c r="G27" s="302"/>
      <c r="H27" s="302"/>
      <c r="I27" s="302"/>
      <c r="J27" s="301"/>
      <c r="K27" s="301"/>
      <c r="L27" s="301"/>
      <c r="M27" s="304"/>
      <c r="N27" s="302"/>
      <c r="O27" s="302"/>
      <c r="P27" s="301"/>
      <c r="Q27" s="302"/>
      <c r="R27" s="347">
        <f t="shared" si="6"/>
        <v>0</v>
      </c>
      <c r="S27" s="348"/>
      <c r="T27" s="348"/>
      <c r="U27" s="348"/>
      <c r="V27" s="348"/>
      <c r="W27" s="348"/>
      <c r="X27" s="426">
        <f t="shared" si="1"/>
        <v>0</v>
      </c>
      <c r="Y27" s="431"/>
      <c r="Z27" s="431"/>
      <c r="AA27" s="431"/>
      <c r="AB27" s="431"/>
      <c r="AC27" s="432">
        <f t="shared" si="2"/>
        <v>0</v>
      </c>
      <c r="AD27" s="302"/>
      <c r="AE27" s="432">
        <f t="shared" si="3"/>
        <v>0</v>
      </c>
      <c r="AF27" s="347">
        <f t="shared" si="4"/>
        <v>0</v>
      </c>
      <c r="AG27" s="348"/>
      <c r="AH27" s="348"/>
      <c r="AI27" s="348"/>
      <c r="AJ27" s="348"/>
      <c r="AK27" s="348"/>
      <c r="AL27" s="426">
        <f t="shared" si="5"/>
        <v>0</v>
      </c>
      <c r="AM27" s="431"/>
      <c r="AN27" s="431"/>
      <c r="AO27" s="431"/>
      <c r="AP27" s="431"/>
      <c r="AQ27" s="349"/>
    </row>
    <row r="28" spans="1:43">
      <c r="A28" s="301"/>
      <c r="B28" s="302"/>
      <c r="C28" s="302"/>
      <c r="D28" s="301"/>
      <c r="E28" s="302" t="s">
        <v>125</v>
      </c>
      <c r="F28" s="304"/>
      <c r="G28" s="302"/>
      <c r="H28" s="302"/>
      <c r="I28" s="302"/>
      <c r="J28" s="301"/>
      <c r="K28" s="301"/>
      <c r="L28" s="301"/>
      <c r="M28" s="304"/>
      <c r="N28" s="302"/>
      <c r="O28" s="302"/>
      <c r="P28" s="301"/>
      <c r="Q28" s="302"/>
      <c r="R28" s="347">
        <f t="shared" si="6"/>
        <v>0</v>
      </c>
      <c r="S28" s="348"/>
      <c r="T28" s="348"/>
      <c r="U28" s="348"/>
      <c r="V28" s="348"/>
      <c r="W28" s="348"/>
      <c r="X28" s="426">
        <f t="shared" si="1"/>
        <v>0</v>
      </c>
      <c r="Y28" s="431"/>
      <c r="Z28" s="431"/>
      <c r="AA28" s="431"/>
      <c r="AB28" s="431"/>
      <c r="AC28" s="432">
        <f t="shared" si="2"/>
        <v>0</v>
      </c>
      <c r="AD28" s="302"/>
      <c r="AE28" s="432">
        <f t="shared" si="3"/>
        <v>0</v>
      </c>
      <c r="AF28" s="347">
        <f t="shared" si="4"/>
        <v>0</v>
      </c>
      <c r="AG28" s="348"/>
      <c r="AH28" s="348"/>
      <c r="AI28" s="348"/>
      <c r="AJ28" s="348"/>
      <c r="AK28" s="348"/>
      <c r="AL28" s="426">
        <f t="shared" si="5"/>
        <v>0</v>
      </c>
      <c r="AM28" s="431"/>
      <c r="AN28" s="431"/>
      <c r="AO28" s="431"/>
      <c r="AP28" s="431"/>
      <c r="AQ28" s="349"/>
    </row>
    <row r="29" spans="1:43">
      <c r="A29" s="301"/>
      <c r="B29" s="302"/>
      <c r="C29" s="302"/>
      <c r="D29" s="301"/>
      <c r="E29" s="302" t="s">
        <v>119</v>
      </c>
      <c r="F29" s="304"/>
      <c r="G29" s="302"/>
      <c r="H29" s="302"/>
      <c r="I29" s="302"/>
      <c r="J29" s="301"/>
      <c r="K29" s="301"/>
      <c r="L29" s="301"/>
      <c r="M29" s="304"/>
      <c r="N29" s="302"/>
      <c r="O29" s="302"/>
      <c r="P29" s="301"/>
      <c r="Q29" s="302"/>
      <c r="R29" s="347">
        <f t="shared" si="6"/>
        <v>0</v>
      </c>
      <c r="S29" s="348"/>
      <c r="T29" s="348"/>
      <c r="U29" s="348"/>
      <c r="V29" s="348"/>
      <c r="W29" s="348"/>
      <c r="X29" s="426">
        <f t="shared" si="1"/>
        <v>0</v>
      </c>
      <c r="Y29" s="431"/>
      <c r="Z29" s="431"/>
      <c r="AA29" s="431"/>
      <c r="AB29" s="431"/>
      <c r="AC29" s="432">
        <f t="shared" si="2"/>
        <v>0</v>
      </c>
      <c r="AD29" s="302"/>
      <c r="AE29" s="432">
        <f t="shared" si="3"/>
        <v>0</v>
      </c>
      <c r="AF29" s="347">
        <f t="shared" si="4"/>
        <v>0</v>
      </c>
      <c r="AG29" s="348"/>
      <c r="AH29" s="348"/>
      <c r="AI29" s="348"/>
      <c r="AJ29" s="348"/>
      <c r="AK29" s="348"/>
      <c r="AL29" s="426">
        <f t="shared" si="5"/>
        <v>0</v>
      </c>
      <c r="AM29" s="431"/>
      <c r="AN29" s="431"/>
      <c r="AO29" s="431"/>
      <c r="AP29" s="431"/>
      <c r="AQ29" s="349"/>
    </row>
    <row r="30" spans="1:43">
      <c r="A30" s="301"/>
      <c r="B30" s="302"/>
      <c r="C30" s="302"/>
      <c r="D30" s="301"/>
      <c r="E30" s="302"/>
      <c r="F30" s="304"/>
      <c r="G30" s="302"/>
      <c r="H30" s="302"/>
      <c r="I30" s="302"/>
      <c r="J30" s="301"/>
      <c r="K30" s="301"/>
      <c r="L30" s="301"/>
      <c r="M30" s="304"/>
      <c r="N30" s="302"/>
      <c r="O30" s="302"/>
      <c r="P30" s="301"/>
      <c r="Q30" s="302"/>
      <c r="R30" s="347">
        <f t="shared" si="6"/>
        <v>0</v>
      </c>
      <c r="S30" s="348"/>
      <c r="T30" s="348"/>
      <c r="U30" s="348"/>
      <c r="V30" s="348"/>
      <c r="W30" s="348"/>
      <c r="X30" s="426">
        <f t="shared" si="1"/>
        <v>0</v>
      </c>
      <c r="Y30" s="431"/>
      <c r="Z30" s="431"/>
      <c r="AA30" s="431"/>
      <c r="AB30" s="431"/>
      <c r="AC30" s="432">
        <f t="shared" si="2"/>
        <v>0</v>
      </c>
      <c r="AD30" s="302"/>
      <c r="AE30" s="432">
        <f t="shared" si="3"/>
        <v>0</v>
      </c>
      <c r="AF30" s="347">
        <f t="shared" si="4"/>
        <v>0</v>
      </c>
      <c r="AG30" s="348"/>
      <c r="AH30" s="348"/>
      <c r="AI30" s="348"/>
      <c r="AJ30" s="348"/>
      <c r="AK30" s="348"/>
      <c r="AL30" s="426">
        <f t="shared" si="5"/>
        <v>0</v>
      </c>
      <c r="AM30" s="431"/>
      <c r="AN30" s="431"/>
      <c r="AO30" s="431"/>
      <c r="AP30" s="431"/>
      <c r="AQ30" s="349"/>
    </row>
    <row r="31" spans="1:43">
      <c r="A31" s="301"/>
      <c r="B31" s="302"/>
      <c r="C31" s="302"/>
      <c r="D31" s="301"/>
      <c r="E31" s="302"/>
      <c r="F31" s="304"/>
      <c r="G31" s="302"/>
      <c r="H31" s="302"/>
      <c r="I31" s="302"/>
      <c r="J31" s="301"/>
      <c r="K31" s="301"/>
      <c r="L31" s="301"/>
      <c r="M31" s="304"/>
      <c r="N31" s="302"/>
      <c r="O31" s="302"/>
      <c r="P31" s="301"/>
      <c r="Q31" s="302"/>
      <c r="R31" s="347">
        <f t="shared" si="6"/>
        <v>0</v>
      </c>
      <c r="S31" s="348"/>
      <c r="T31" s="348"/>
      <c r="U31" s="348"/>
      <c r="V31" s="348"/>
      <c r="W31" s="348"/>
      <c r="X31" s="426">
        <f t="shared" si="1"/>
        <v>0</v>
      </c>
      <c r="Y31" s="431"/>
      <c r="Z31" s="431"/>
      <c r="AA31" s="431"/>
      <c r="AB31" s="431"/>
      <c r="AC31" s="432">
        <f t="shared" si="2"/>
        <v>0</v>
      </c>
      <c r="AD31" s="302"/>
      <c r="AE31" s="432">
        <f t="shared" si="3"/>
        <v>0</v>
      </c>
      <c r="AF31" s="347">
        <f t="shared" si="4"/>
        <v>0</v>
      </c>
      <c r="AG31" s="348"/>
      <c r="AH31" s="348"/>
      <c r="AI31" s="348"/>
      <c r="AJ31" s="348"/>
      <c r="AK31" s="348"/>
      <c r="AL31" s="426">
        <f t="shared" si="5"/>
        <v>0</v>
      </c>
      <c r="AM31" s="431"/>
      <c r="AN31" s="431"/>
      <c r="AO31" s="431"/>
      <c r="AP31" s="431"/>
      <c r="AQ31" s="349"/>
    </row>
    <row r="32" spans="1:43">
      <c r="A32" s="301"/>
      <c r="B32" s="302"/>
      <c r="C32" s="302"/>
      <c r="D32" s="301"/>
      <c r="E32" s="302"/>
      <c r="F32" s="304"/>
      <c r="G32" s="302"/>
      <c r="H32" s="302"/>
      <c r="I32" s="302"/>
      <c r="J32" s="301"/>
      <c r="K32" s="301"/>
      <c r="L32" s="301"/>
      <c r="M32" s="304"/>
      <c r="N32" s="302"/>
      <c r="O32" s="302"/>
      <c r="P32" s="301"/>
      <c r="Q32" s="302"/>
      <c r="R32" s="347">
        <f t="shared" si="6"/>
        <v>0</v>
      </c>
      <c r="S32" s="348"/>
      <c r="T32" s="348"/>
      <c r="U32" s="348"/>
      <c r="V32" s="348"/>
      <c r="W32" s="348"/>
      <c r="X32" s="426">
        <f t="shared" si="1"/>
        <v>0</v>
      </c>
      <c r="Y32" s="431"/>
      <c r="Z32" s="431"/>
      <c r="AA32" s="431"/>
      <c r="AB32" s="431"/>
      <c r="AC32" s="432">
        <f t="shared" si="2"/>
        <v>0</v>
      </c>
      <c r="AD32" s="302"/>
      <c r="AE32" s="432">
        <f t="shared" si="3"/>
        <v>0</v>
      </c>
      <c r="AF32" s="347">
        <f t="shared" si="4"/>
        <v>0</v>
      </c>
      <c r="AG32" s="348"/>
      <c r="AH32" s="348"/>
      <c r="AI32" s="348"/>
      <c r="AJ32" s="348"/>
      <c r="AK32" s="348"/>
      <c r="AL32" s="426">
        <f t="shared" si="5"/>
        <v>0</v>
      </c>
      <c r="AM32" s="431"/>
      <c r="AN32" s="431"/>
      <c r="AO32" s="431"/>
      <c r="AP32" s="431"/>
      <c r="AQ32" s="349"/>
    </row>
    <row r="33" spans="1:43">
      <c r="A33" s="301"/>
      <c r="B33" s="302"/>
      <c r="C33" s="302"/>
      <c r="D33" s="301"/>
      <c r="E33" s="302"/>
      <c r="F33" s="304"/>
      <c r="G33" s="302"/>
      <c r="H33" s="302"/>
      <c r="I33" s="302"/>
      <c r="J33" s="301"/>
      <c r="K33" s="301"/>
      <c r="L33" s="301"/>
      <c r="M33" s="304"/>
      <c r="N33" s="302"/>
      <c r="O33" s="302"/>
      <c r="P33" s="301"/>
      <c r="Q33" s="302"/>
      <c r="R33" s="347">
        <f t="shared" si="6"/>
        <v>0</v>
      </c>
      <c r="S33" s="348"/>
      <c r="T33" s="348"/>
      <c r="U33" s="348"/>
      <c r="V33" s="348"/>
      <c r="W33" s="348"/>
      <c r="X33" s="426">
        <f t="shared" si="1"/>
        <v>0</v>
      </c>
      <c r="Y33" s="431"/>
      <c r="Z33" s="431"/>
      <c r="AA33" s="431"/>
      <c r="AB33" s="431"/>
      <c r="AC33" s="432">
        <f t="shared" si="2"/>
        <v>0</v>
      </c>
      <c r="AD33" s="302"/>
      <c r="AE33" s="432">
        <f t="shared" si="3"/>
        <v>0</v>
      </c>
      <c r="AF33" s="347">
        <f t="shared" si="4"/>
        <v>0</v>
      </c>
      <c r="AG33" s="348"/>
      <c r="AH33" s="348"/>
      <c r="AI33" s="348"/>
      <c r="AJ33" s="348"/>
      <c r="AK33" s="348"/>
      <c r="AL33" s="426">
        <f t="shared" si="5"/>
        <v>0</v>
      </c>
      <c r="AM33" s="431"/>
      <c r="AN33" s="431"/>
      <c r="AO33" s="431"/>
      <c r="AP33" s="431"/>
      <c r="AQ33" s="349"/>
    </row>
    <row r="34" spans="1:43">
      <c r="A34" s="301"/>
      <c r="B34" s="302"/>
      <c r="C34" s="302"/>
      <c r="D34" s="301"/>
      <c r="E34" s="302"/>
      <c r="F34" s="304"/>
      <c r="G34" s="302"/>
      <c r="H34" s="302"/>
      <c r="I34" s="302"/>
      <c r="J34" s="301"/>
      <c r="K34" s="301"/>
      <c r="L34" s="301"/>
      <c r="M34" s="304"/>
      <c r="N34" s="302"/>
      <c r="O34" s="302"/>
      <c r="P34" s="301"/>
      <c r="Q34" s="302"/>
      <c r="R34" s="347">
        <f t="shared" si="6"/>
        <v>0</v>
      </c>
      <c r="S34" s="348"/>
      <c r="T34" s="348"/>
      <c r="U34" s="348"/>
      <c r="V34" s="348"/>
      <c r="W34" s="348"/>
      <c r="X34" s="426">
        <f t="shared" si="1"/>
        <v>0</v>
      </c>
      <c r="Y34" s="431"/>
      <c r="Z34" s="431"/>
      <c r="AA34" s="431"/>
      <c r="AB34" s="431"/>
      <c r="AC34" s="432">
        <f t="shared" si="2"/>
        <v>0</v>
      </c>
      <c r="AD34" s="302"/>
      <c r="AE34" s="432">
        <f t="shared" si="3"/>
        <v>0</v>
      </c>
      <c r="AF34" s="347">
        <f t="shared" si="4"/>
        <v>0</v>
      </c>
      <c r="AG34" s="348"/>
      <c r="AH34" s="348"/>
      <c r="AI34" s="348"/>
      <c r="AJ34" s="348"/>
      <c r="AK34" s="348"/>
      <c r="AL34" s="426">
        <f t="shared" si="5"/>
        <v>0</v>
      </c>
      <c r="AM34" s="431"/>
      <c r="AN34" s="431"/>
      <c r="AO34" s="431"/>
      <c r="AP34" s="431"/>
      <c r="AQ34" s="349"/>
    </row>
    <row r="35" spans="1:43">
      <c r="A35" s="301"/>
      <c r="B35" s="302"/>
      <c r="C35" s="302"/>
      <c r="D35" s="301"/>
      <c r="E35" s="302"/>
      <c r="F35" s="304"/>
      <c r="G35" s="302"/>
      <c r="H35" s="302"/>
      <c r="I35" s="302"/>
      <c r="J35" s="301"/>
      <c r="K35" s="301"/>
      <c r="L35" s="301"/>
      <c r="M35" s="304"/>
      <c r="N35" s="302"/>
      <c r="O35" s="302"/>
      <c r="P35" s="301"/>
      <c r="Q35" s="302"/>
      <c r="R35" s="347">
        <f t="shared" si="6"/>
        <v>0</v>
      </c>
      <c r="S35" s="348"/>
      <c r="T35" s="348"/>
      <c r="U35" s="348"/>
      <c r="V35" s="348"/>
      <c r="W35" s="348"/>
      <c r="X35" s="426">
        <f t="shared" si="1"/>
        <v>0</v>
      </c>
      <c r="Y35" s="431"/>
      <c r="Z35" s="431"/>
      <c r="AA35" s="431"/>
      <c r="AB35" s="431"/>
      <c r="AC35" s="432">
        <f t="shared" si="2"/>
        <v>0</v>
      </c>
      <c r="AD35" s="302"/>
      <c r="AE35" s="432">
        <f t="shared" si="3"/>
        <v>0</v>
      </c>
      <c r="AF35" s="347">
        <f t="shared" si="4"/>
        <v>0</v>
      </c>
      <c r="AG35" s="348"/>
      <c r="AH35" s="348"/>
      <c r="AI35" s="348"/>
      <c r="AJ35" s="348"/>
      <c r="AK35" s="348"/>
      <c r="AL35" s="426">
        <f t="shared" si="5"/>
        <v>0</v>
      </c>
      <c r="AM35" s="431"/>
      <c r="AN35" s="431"/>
      <c r="AO35" s="431"/>
      <c r="AP35" s="431"/>
      <c r="AQ35" s="349"/>
    </row>
    <row r="36" spans="1:43">
      <c r="A36" s="301"/>
      <c r="B36" s="302"/>
      <c r="C36" s="302"/>
      <c r="D36" s="301"/>
      <c r="E36" s="302"/>
      <c r="F36" s="304"/>
      <c r="G36" s="302"/>
      <c r="H36" s="302"/>
      <c r="I36" s="302"/>
      <c r="J36" s="301"/>
      <c r="K36" s="301"/>
      <c r="L36" s="301"/>
      <c r="M36" s="304"/>
      <c r="N36" s="302"/>
      <c r="O36" s="302"/>
      <c r="P36" s="301"/>
      <c r="Q36" s="302"/>
      <c r="R36" s="347">
        <f t="shared" si="6"/>
        <v>0</v>
      </c>
      <c r="S36" s="348"/>
      <c r="T36" s="348"/>
      <c r="U36" s="348"/>
      <c r="V36" s="348"/>
      <c r="W36" s="348"/>
      <c r="X36" s="426">
        <f t="shared" si="1"/>
        <v>0</v>
      </c>
      <c r="Y36" s="431"/>
      <c r="Z36" s="431"/>
      <c r="AA36" s="431"/>
      <c r="AB36" s="431"/>
      <c r="AC36" s="432">
        <f t="shared" si="2"/>
        <v>0</v>
      </c>
      <c r="AD36" s="302"/>
      <c r="AE36" s="432">
        <f t="shared" si="3"/>
        <v>0</v>
      </c>
      <c r="AF36" s="347">
        <f t="shared" si="4"/>
        <v>0</v>
      </c>
      <c r="AG36" s="348"/>
      <c r="AH36" s="348"/>
      <c r="AI36" s="348"/>
      <c r="AJ36" s="348"/>
      <c r="AK36" s="348"/>
      <c r="AL36" s="426">
        <f t="shared" si="5"/>
        <v>0</v>
      </c>
      <c r="AM36" s="431"/>
      <c r="AN36" s="431"/>
      <c r="AO36" s="431"/>
      <c r="AP36" s="431"/>
      <c r="AQ36" s="349"/>
    </row>
    <row r="37" spans="1:43">
      <c r="A37" s="301"/>
      <c r="B37" s="302"/>
      <c r="C37" s="302"/>
      <c r="D37" s="301"/>
      <c r="E37" s="302"/>
      <c r="F37" s="304"/>
      <c r="G37" s="302"/>
      <c r="H37" s="302"/>
      <c r="I37" s="302"/>
      <c r="J37" s="301"/>
      <c r="K37" s="301"/>
      <c r="L37" s="301"/>
      <c r="M37" s="304"/>
      <c r="N37" s="302"/>
      <c r="O37" s="302"/>
      <c r="P37" s="301"/>
      <c r="Q37" s="302"/>
      <c r="R37" s="347">
        <f t="shared" si="6"/>
        <v>0</v>
      </c>
      <c r="S37" s="348"/>
      <c r="T37" s="348"/>
      <c r="U37" s="348"/>
      <c r="V37" s="348"/>
      <c r="W37" s="348"/>
      <c r="X37" s="426">
        <f t="shared" si="1"/>
        <v>0</v>
      </c>
      <c r="Y37" s="431"/>
      <c r="Z37" s="431"/>
      <c r="AA37" s="431"/>
      <c r="AB37" s="431"/>
      <c r="AC37" s="432">
        <f t="shared" si="2"/>
        <v>0</v>
      </c>
      <c r="AD37" s="302"/>
      <c r="AE37" s="432">
        <f t="shared" si="3"/>
        <v>0</v>
      </c>
      <c r="AF37" s="347">
        <f t="shared" si="4"/>
        <v>0</v>
      </c>
      <c r="AG37" s="348"/>
      <c r="AH37" s="348"/>
      <c r="AI37" s="348"/>
      <c r="AJ37" s="348"/>
      <c r="AK37" s="348"/>
      <c r="AL37" s="426">
        <f t="shared" si="5"/>
        <v>0</v>
      </c>
      <c r="AM37" s="431"/>
      <c r="AN37" s="431"/>
      <c r="AO37" s="431"/>
      <c r="AP37" s="431"/>
      <c r="AQ37" s="349"/>
    </row>
    <row r="38" spans="1:43">
      <c r="A38" s="301"/>
      <c r="B38" s="302"/>
      <c r="C38" s="302"/>
      <c r="D38" s="301"/>
      <c r="E38" s="302"/>
      <c r="F38" s="304"/>
      <c r="G38" s="302"/>
      <c r="H38" s="302"/>
      <c r="I38" s="302"/>
      <c r="J38" s="301"/>
      <c r="K38" s="301"/>
      <c r="L38" s="301"/>
      <c r="M38" s="304"/>
      <c r="N38" s="302"/>
      <c r="O38" s="302"/>
      <c r="P38" s="301"/>
      <c r="Q38" s="302"/>
      <c r="R38" s="347">
        <f t="shared" si="6"/>
        <v>0</v>
      </c>
      <c r="S38" s="348"/>
      <c r="T38" s="348"/>
      <c r="U38" s="348"/>
      <c r="V38" s="348"/>
      <c r="W38" s="348"/>
      <c r="X38" s="426">
        <f t="shared" si="1"/>
        <v>0</v>
      </c>
      <c r="Y38" s="431"/>
      <c r="Z38" s="431"/>
      <c r="AA38" s="431"/>
      <c r="AB38" s="431"/>
      <c r="AC38" s="432">
        <f t="shared" si="2"/>
        <v>0</v>
      </c>
      <c r="AD38" s="302"/>
      <c r="AE38" s="432">
        <f t="shared" si="3"/>
        <v>0</v>
      </c>
      <c r="AF38" s="347">
        <f t="shared" si="4"/>
        <v>0</v>
      </c>
      <c r="AG38" s="348"/>
      <c r="AH38" s="348"/>
      <c r="AI38" s="348"/>
      <c r="AJ38" s="348"/>
      <c r="AK38" s="348"/>
      <c r="AL38" s="426">
        <f t="shared" si="5"/>
        <v>0</v>
      </c>
      <c r="AM38" s="431"/>
      <c r="AN38" s="431"/>
      <c r="AO38" s="431"/>
      <c r="AP38" s="431"/>
      <c r="AQ38" s="349"/>
    </row>
    <row r="39" spans="1:43">
      <c r="A39" s="301"/>
      <c r="B39" s="302"/>
      <c r="C39" s="302"/>
      <c r="D39" s="301"/>
      <c r="E39" s="302"/>
      <c r="F39" s="304"/>
      <c r="G39" s="302"/>
      <c r="H39" s="302"/>
      <c r="I39" s="302"/>
      <c r="J39" s="301"/>
      <c r="K39" s="301"/>
      <c r="L39" s="301"/>
      <c r="M39" s="304"/>
      <c r="N39" s="302"/>
      <c r="O39" s="302"/>
      <c r="P39" s="301"/>
      <c r="Q39" s="302"/>
      <c r="R39" s="347">
        <f t="shared" si="6"/>
        <v>0</v>
      </c>
      <c r="S39" s="348"/>
      <c r="T39" s="348"/>
      <c r="U39" s="348"/>
      <c r="V39" s="348"/>
      <c r="W39" s="348"/>
      <c r="X39" s="426">
        <f t="shared" si="1"/>
        <v>0</v>
      </c>
      <c r="Y39" s="431"/>
      <c r="Z39" s="431"/>
      <c r="AA39" s="431"/>
      <c r="AB39" s="431"/>
      <c r="AC39" s="432">
        <f t="shared" si="2"/>
        <v>0</v>
      </c>
      <c r="AD39" s="302"/>
      <c r="AE39" s="432">
        <f t="shared" si="3"/>
        <v>0</v>
      </c>
      <c r="AF39" s="347">
        <f t="shared" si="4"/>
        <v>0</v>
      </c>
      <c r="AG39" s="348"/>
      <c r="AH39" s="348"/>
      <c r="AI39" s="348"/>
      <c r="AJ39" s="348"/>
      <c r="AK39" s="348"/>
      <c r="AL39" s="426">
        <f t="shared" si="5"/>
        <v>0</v>
      </c>
      <c r="AM39" s="431"/>
      <c r="AN39" s="431"/>
      <c r="AO39" s="431"/>
      <c r="AP39" s="431"/>
      <c r="AQ39" s="349"/>
    </row>
    <row r="40" spans="1:43">
      <c r="A40" s="301"/>
      <c r="B40" s="302"/>
      <c r="C40" s="302"/>
      <c r="D40" s="301"/>
      <c r="E40" s="302"/>
      <c r="F40" s="304"/>
      <c r="G40" s="302"/>
      <c r="H40" s="302"/>
      <c r="I40" s="302"/>
      <c r="J40" s="301"/>
      <c r="K40" s="301"/>
      <c r="L40" s="301"/>
      <c r="M40" s="304"/>
      <c r="N40" s="302"/>
      <c r="O40" s="302"/>
      <c r="P40" s="301"/>
      <c r="Q40" s="302"/>
      <c r="R40" s="347">
        <f t="shared" si="6"/>
        <v>0</v>
      </c>
      <c r="S40" s="348"/>
      <c r="T40" s="348"/>
      <c r="U40" s="348"/>
      <c r="V40" s="348"/>
      <c r="W40" s="348"/>
      <c r="X40" s="426">
        <f t="shared" si="1"/>
        <v>0</v>
      </c>
      <c r="Y40" s="431"/>
      <c r="Z40" s="431"/>
      <c r="AA40" s="431"/>
      <c r="AB40" s="431"/>
      <c r="AC40" s="432">
        <f t="shared" si="2"/>
        <v>0</v>
      </c>
      <c r="AD40" s="302"/>
      <c r="AE40" s="432">
        <f t="shared" si="3"/>
        <v>0</v>
      </c>
      <c r="AF40" s="347">
        <f t="shared" si="4"/>
        <v>0</v>
      </c>
      <c r="AG40" s="348"/>
      <c r="AH40" s="348"/>
      <c r="AI40" s="348"/>
      <c r="AJ40" s="348"/>
      <c r="AK40" s="348"/>
      <c r="AL40" s="426">
        <f t="shared" si="5"/>
        <v>0</v>
      </c>
      <c r="AM40" s="431"/>
      <c r="AN40" s="431"/>
      <c r="AO40" s="431"/>
      <c r="AP40" s="431"/>
      <c r="AQ40" s="349"/>
    </row>
    <row r="41" spans="1:43">
      <c r="A41" s="301"/>
      <c r="B41" s="302"/>
      <c r="C41" s="302"/>
      <c r="D41" s="301"/>
      <c r="E41" s="302"/>
      <c r="F41" s="304"/>
      <c r="G41" s="302"/>
      <c r="H41" s="302"/>
      <c r="I41" s="302"/>
      <c r="J41" s="301"/>
      <c r="K41" s="301"/>
      <c r="L41" s="301"/>
      <c r="M41" s="304"/>
      <c r="N41" s="302"/>
      <c r="O41" s="302"/>
      <c r="P41" s="301"/>
      <c r="Q41" s="302"/>
      <c r="R41" s="347">
        <f t="shared" si="6"/>
        <v>0</v>
      </c>
      <c r="S41" s="348"/>
      <c r="T41" s="348"/>
      <c r="U41" s="348"/>
      <c r="V41" s="348"/>
      <c r="W41" s="348"/>
      <c r="X41" s="426">
        <f t="shared" si="1"/>
        <v>0</v>
      </c>
      <c r="Y41" s="431"/>
      <c r="Z41" s="431"/>
      <c r="AA41" s="431"/>
      <c r="AB41" s="431"/>
      <c r="AC41" s="432">
        <f t="shared" si="2"/>
        <v>0</v>
      </c>
      <c r="AD41" s="302"/>
      <c r="AE41" s="432">
        <f t="shared" si="3"/>
        <v>0</v>
      </c>
      <c r="AF41" s="347">
        <f t="shared" si="4"/>
        <v>0</v>
      </c>
      <c r="AG41" s="348"/>
      <c r="AH41" s="348"/>
      <c r="AI41" s="348"/>
      <c r="AJ41" s="348"/>
      <c r="AK41" s="348"/>
      <c r="AL41" s="426">
        <f t="shared" si="5"/>
        <v>0</v>
      </c>
      <c r="AM41" s="431"/>
      <c r="AN41" s="431"/>
      <c r="AO41" s="431"/>
      <c r="AP41" s="431"/>
      <c r="AQ41" s="349"/>
    </row>
    <row r="42" spans="1:43">
      <c r="A42" s="301"/>
      <c r="B42" s="302"/>
      <c r="C42" s="302"/>
      <c r="D42" s="301"/>
      <c r="E42" s="302"/>
      <c r="F42" s="304"/>
      <c r="G42" s="302"/>
      <c r="H42" s="302"/>
      <c r="I42" s="302"/>
      <c r="J42" s="301"/>
      <c r="K42" s="301"/>
      <c r="L42" s="301"/>
      <c r="M42" s="304"/>
      <c r="N42" s="302"/>
      <c r="O42" s="302"/>
      <c r="P42" s="301"/>
      <c r="Q42" s="302"/>
      <c r="R42" s="347">
        <f t="shared" si="6"/>
        <v>0</v>
      </c>
      <c r="S42" s="348"/>
      <c r="T42" s="348"/>
      <c r="U42" s="348"/>
      <c r="V42" s="348"/>
      <c r="W42" s="348"/>
      <c r="X42" s="426">
        <f t="shared" si="1"/>
        <v>0</v>
      </c>
      <c r="Y42" s="431"/>
      <c r="Z42" s="431"/>
      <c r="AA42" s="431"/>
      <c r="AB42" s="431"/>
      <c r="AC42" s="432">
        <f t="shared" si="2"/>
        <v>0</v>
      </c>
      <c r="AD42" s="302"/>
      <c r="AE42" s="432">
        <f t="shared" si="3"/>
        <v>0</v>
      </c>
      <c r="AF42" s="347">
        <f t="shared" si="4"/>
        <v>0</v>
      </c>
      <c r="AG42" s="348"/>
      <c r="AH42" s="348"/>
      <c r="AI42" s="348"/>
      <c r="AJ42" s="348"/>
      <c r="AK42" s="348"/>
      <c r="AL42" s="426">
        <f t="shared" si="5"/>
        <v>0</v>
      </c>
      <c r="AM42" s="431"/>
      <c r="AN42" s="431"/>
      <c r="AO42" s="431"/>
      <c r="AP42" s="431"/>
      <c r="AQ42" s="349"/>
    </row>
    <row r="43" spans="1:43">
      <c r="A43" s="301"/>
      <c r="B43" s="302"/>
      <c r="C43" s="302"/>
      <c r="D43" s="301"/>
      <c r="E43" s="302"/>
      <c r="F43" s="304"/>
      <c r="G43" s="302"/>
      <c r="H43" s="302"/>
      <c r="I43" s="302"/>
      <c r="J43" s="301"/>
      <c r="K43" s="301"/>
      <c r="L43" s="301"/>
      <c r="M43" s="304"/>
      <c r="N43" s="302"/>
      <c r="O43" s="302"/>
      <c r="P43" s="301"/>
      <c r="Q43" s="302"/>
      <c r="R43" s="347">
        <f t="shared" si="6"/>
        <v>0</v>
      </c>
      <c r="S43" s="348"/>
      <c r="T43" s="348"/>
      <c r="U43" s="348"/>
      <c r="V43" s="348"/>
      <c r="W43" s="348"/>
      <c r="X43" s="426">
        <f t="shared" si="1"/>
        <v>0</v>
      </c>
      <c r="Y43" s="431"/>
      <c r="Z43" s="431"/>
      <c r="AA43" s="431"/>
      <c r="AB43" s="431"/>
      <c r="AC43" s="432">
        <f t="shared" si="2"/>
        <v>0</v>
      </c>
      <c r="AD43" s="302"/>
      <c r="AE43" s="432">
        <f t="shared" si="3"/>
        <v>0</v>
      </c>
      <c r="AF43" s="347">
        <f t="shared" si="4"/>
        <v>0</v>
      </c>
      <c r="AG43" s="348"/>
      <c r="AH43" s="348"/>
      <c r="AI43" s="348"/>
      <c r="AJ43" s="348"/>
      <c r="AK43" s="348"/>
      <c r="AL43" s="426">
        <f t="shared" si="5"/>
        <v>0</v>
      </c>
      <c r="AM43" s="431"/>
      <c r="AN43" s="431"/>
      <c r="AO43" s="431"/>
      <c r="AP43" s="431"/>
      <c r="AQ43" s="349"/>
    </row>
    <row r="44" spans="1:43">
      <c r="A44" s="301"/>
      <c r="B44" s="302"/>
      <c r="C44" s="302"/>
      <c r="D44" s="301"/>
      <c r="E44" s="302"/>
      <c r="F44" s="304"/>
      <c r="G44" s="302"/>
      <c r="H44" s="302"/>
      <c r="I44" s="302"/>
      <c r="J44" s="301"/>
      <c r="K44" s="301"/>
      <c r="L44" s="301"/>
      <c r="M44" s="304"/>
      <c r="N44" s="302"/>
      <c r="O44" s="302"/>
      <c r="P44" s="301"/>
      <c r="Q44" s="302"/>
      <c r="R44" s="347">
        <f t="shared" si="6"/>
        <v>0</v>
      </c>
      <c r="S44" s="348"/>
      <c r="T44" s="348"/>
      <c r="U44" s="348"/>
      <c r="V44" s="348"/>
      <c r="W44" s="348"/>
      <c r="X44" s="426">
        <f t="shared" si="1"/>
        <v>0</v>
      </c>
      <c r="Y44" s="431"/>
      <c r="Z44" s="431"/>
      <c r="AA44" s="431"/>
      <c r="AB44" s="431"/>
      <c r="AC44" s="432">
        <f t="shared" si="2"/>
        <v>0</v>
      </c>
      <c r="AD44" s="302"/>
      <c r="AE44" s="432">
        <f t="shared" si="3"/>
        <v>0</v>
      </c>
      <c r="AF44" s="347">
        <f t="shared" si="4"/>
        <v>0</v>
      </c>
      <c r="AG44" s="348"/>
      <c r="AH44" s="348"/>
      <c r="AI44" s="348"/>
      <c r="AJ44" s="348"/>
      <c r="AK44" s="348"/>
      <c r="AL44" s="426">
        <f t="shared" si="5"/>
        <v>0</v>
      </c>
      <c r="AM44" s="431"/>
      <c r="AN44" s="431"/>
      <c r="AO44" s="431"/>
      <c r="AP44" s="431"/>
      <c r="AQ44" s="349"/>
    </row>
    <row r="45" spans="1:43">
      <c r="A45" s="301"/>
      <c r="B45" s="302"/>
      <c r="C45" s="302"/>
      <c r="D45" s="301"/>
      <c r="E45" s="302"/>
      <c r="F45" s="304"/>
      <c r="G45" s="302"/>
      <c r="H45" s="302"/>
      <c r="I45" s="302"/>
      <c r="J45" s="301"/>
      <c r="K45" s="301"/>
      <c r="L45" s="301"/>
      <c r="M45" s="304"/>
      <c r="N45" s="302"/>
      <c r="O45" s="302"/>
      <c r="P45" s="301"/>
      <c r="Q45" s="302"/>
      <c r="R45" s="347">
        <f t="shared" si="6"/>
        <v>0</v>
      </c>
      <c r="S45" s="348"/>
      <c r="T45" s="348"/>
      <c r="U45" s="348"/>
      <c r="V45" s="348"/>
      <c r="W45" s="348"/>
      <c r="X45" s="426">
        <f t="shared" si="1"/>
        <v>0</v>
      </c>
      <c r="Y45" s="431"/>
      <c r="Z45" s="431"/>
      <c r="AA45" s="431"/>
      <c r="AB45" s="431"/>
      <c r="AC45" s="432">
        <f t="shared" si="2"/>
        <v>0</v>
      </c>
      <c r="AD45" s="302"/>
      <c r="AE45" s="432">
        <f t="shared" si="3"/>
        <v>0</v>
      </c>
      <c r="AF45" s="347">
        <f t="shared" si="4"/>
        <v>0</v>
      </c>
      <c r="AG45" s="348"/>
      <c r="AH45" s="348"/>
      <c r="AI45" s="348"/>
      <c r="AJ45" s="348"/>
      <c r="AK45" s="348"/>
      <c r="AL45" s="426">
        <f t="shared" si="5"/>
        <v>0</v>
      </c>
      <c r="AM45" s="431"/>
      <c r="AN45" s="431"/>
      <c r="AO45" s="431"/>
      <c r="AP45" s="431"/>
      <c r="AQ45" s="349"/>
    </row>
    <row r="46" spans="1:43">
      <c r="A46" s="301"/>
      <c r="B46" s="302"/>
      <c r="C46" s="302"/>
      <c r="D46" s="301"/>
      <c r="E46" s="302"/>
      <c r="F46" s="304"/>
      <c r="G46" s="302"/>
      <c r="H46" s="302"/>
      <c r="I46" s="302"/>
      <c r="J46" s="301"/>
      <c r="K46" s="301"/>
      <c r="L46" s="301"/>
      <c r="M46" s="304"/>
      <c r="N46" s="302"/>
      <c r="O46" s="302"/>
      <c r="P46" s="301"/>
      <c r="Q46" s="302"/>
      <c r="R46" s="347">
        <f t="shared" si="6"/>
        <v>0</v>
      </c>
      <c r="S46" s="348"/>
      <c r="T46" s="348"/>
      <c r="U46" s="348"/>
      <c r="V46" s="348"/>
      <c r="W46" s="348"/>
      <c r="X46" s="426">
        <f t="shared" si="1"/>
        <v>0</v>
      </c>
      <c r="Y46" s="431"/>
      <c r="Z46" s="431"/>
      <c r="AA46" s="431"/>
      <c r="AB46" s="431"/>
      <c r="AC46" s="432">
        <f t="shared" si="2"/>
        <v>0</v>
      </c>
      <c r="AD46" s="302"/>
      <c r="AE46" s="432">
        <f t="shared" si="3"/>
        <v>0</v>
      </c>
      <c r="AF46" s="347">
        <f t="shared" si="4"/>
        <v>0</v>
      </c>
      <c r="AG46" s="348"/>
      <c r="AH46" s="348"/>
      <c r="AI46" s="348"/>
      <c r="AJ46" s="348"/>
      <c r="AK46" s="348"/>
      <c r="AL46" s="426">
        <f t="shared" si="5"/>
        <v>0</v>
      </c>
      <c r="AM46" s="431"/>
      <c r="AN46" s="431"/>
      <c r="AO46" s="431"/>
      <c r="AP46" s="431"/>
      <c r="AQ46" s="349"/>
    </row>
    <row r="47" spans="1:43">
      <c r="A47" s="301"/>
      <c r="B47" s="302"/>
      <c r="C47" s="302"/>
      <c r="D47" s="301"/>
      <c r="E47" s="302"/>
      <c r="F47" s="304"/>
      <c r="G47" s="302"/>
      <c r="H47" s="302"/>
      <c r="I47" s="302"/>
      <c r="J47" s="301"/>
      <c r="K47" s="301"/>
      <c r="L47" s="301"/>
      <c r="M47" s="304"/>
      <c r="N47" s="302"/>
      <c r="O47" s="302"/>
      <c r="P47" s="301"/>
      <c r="Q47" s="302"/>
      <c r="R47" s="347">
        <f t="shared" si="6"/>
        <v>0</v>
      </c>
      <c r="S47" s="348"/>
      <c r="T47" s="348"/>
      <c r="U47" s="348"/>
      <c r="V47" s="348"/>
      <c r="W47" s="348"/>
      <c r="X47" s="426">
        <f t="shared" si="1"/>
        <v>0</v>
      </c>
      <c r="Y47" s="431"/>
      <c r="Z47" s="431"/>
      <c r="AA47" s="431"/>
      <c r="AB47" s="431"/>
      <c r="AC47" s="432">
        <f t="shared" si="2"/>
        <v>0</v>
      </c>
      <c r="AD47" s="302"/>
      <c r="AE47" s="432">
        <f t="shared" si="3"/>
        <v>0</v>
      </c>
      <c r="AF47" s="347">
        <f t="shared" si="4"/>
        <v>0</v>
      </c>
      <c r="AG47" s="348"/>
      <c r="AH47" s="348"/>
      <c r="AI47" s="348"/>
      <c r="AJ47" s="348"/>
      <c r="AK47" s="348"/>
      <c r="AL47" s="426">
        <f t="shared" si="5"/>
        <v>0</v>
      </c>
      <c r="AM47" s="431"/>
      <c r="AN47" s="431"/>
      <c r="AO47" s="431"/>
      <c r="AP47" s="431"/>
      <c r="AQ47" s="349"/>
    </row>
    <row r="48" spans="1:43">
      <c r="A48" s="301"/>
      <c r="B48" s="302"/>
      <c r="C48" s="302"/>
      <c r="D48" s="301"/>
      <c r="E48" s="302"/>
      <c r="F48" s="304"/>
      <c r="G48" s="302"/>
      <c r="H48" s="302"/>
      <c r="I48" s="302"/>
      <c r="J48" s="301"/>
      <c r="K48" s="301"/>
      <c r="L48" s="301"/>
      <c r="M48" s="304"/>
      <c r="N48" s="302"/>
      <c r="O48" s="302"/>
      <c r="P48" s="301"/>
      <c r="Q48" s="302"/>
      <c r="R48" s="347">
        <f t="shared" si="6"/>
        <v>0</v>
      </c>
      <c r="S48" s="348"/>
      <c r="T48" s="348"/>
      <c r="U48" s="348"/>
      <c r="V48" s="348"/>
      <c r="W48" s="348"/>
      <c r="X48" s="426">
        <f t="shared" si="1"/>
        <v>0</v>
      </c>
      <c r="Y48" s="431"/>
      <c r="Z48" s="431"/>
      <c r="AA48" s="431"/>
      <c r="AB48" s="431"/>
      <c r="AC48" s="432">
        <f t="shared" si="2"/>
        <v>0</v>
      </c>
      <c r="AD48" s="302"/>
      <c r="AE48" s="432">
        <f t="shared" si="3"/>
        <v>0</v>
      </c>
      <c r="AF48" s="347">
        <f t="shared" si="4"/>
        <v>0</v>
      </c>
      <c r="AG48" s="348"/>
      <c r="AH48" s="348"/>
      <c r="AI48" s="348"/>
      <c r="AJ48" s="348"/>
      <c r="AK48" s="348"/>
      <c r="AL48" s="426">
        <f t="shared" si="5"/>
        <v>0</v>
      </c>
      <c r="AM48" s="431"/>
      <c r="AN48" s="431"/>
      <c r="AO48" s="431"/>
      <c r="AP48" s="431"/>
      <c r="AQ48" s="349"/>
    </row>
    <row r="49" spans="1:43">
      <c r="A49" s="301"/>
      <c r="B49" s="302"/>
      <c r="C49" s="302"/>
      <c r="D49" s="301"/>
      <c r="E49" s="302"/>
      <c r="F49" s="304"/>
      <c r="G49" s="302"/>
      <c r="H49" s="302"/>
      <c r="I49" s="302"/>
      <c r="J49" s="301"/>
      <c r="K49" s="301"/>
      <c r="L49" s="301"/>
      <c r="M49" s="304"/>
      <c r="N49" s="302"/>
      <c r="O49" s="302"/>
      <c r="P49" s="301"/>
      <c r="Q49" s="302"/>
      <c r="R49" s="347">
        <f t="shared" si="6"/>
        <v>0</v>
      </c>
      <c r="S49" s="348"/>
      <c r="T49" s="348"/>
      <c r="U49" s="348"/>
      <c r="V49" s="348"/>
      <c r="W49" s="348"/>
      <c r="X49" s="426">
        <f t="shared" si="1"/>
        <v>0</v>
      </c>
      <c r="Y49" s="431"/>
      <c r="Z49" s="431"/>
      <c r="AA49" s="431"/>
      <c r="AB49" s="431"/>
      <c r="AC49" s="432">
        <f t="shared" si="2"/>
        <v>0</v>
      </c>
      <c r="AD49" s="302"/>
      <c r="AE49" s="432">
        <f t="shared" si="3"/>
        <v>0</v>
      </c>
      <c r="AF49" s="347">
        <f t="shared" si="4"/>
        <v>0</v>
      </c>
      <c r="AG49" s="348"/>
      <c r="AH49" s="348"/>
      <c r="AI49" s="348"/>
      <c r="AJ49" s="348"/>
      <c r="AK49" s="348"/>
      <c r="AL49" s="426">
        <f t="shared" si="5"/>
        <v>0</v>
      </c>
      <c r="AM49" s="431"/>
      <c r="AN49" s="431"/>
      <c r="AO49" s="431"/>
      <c r="AP49" s="431"/>
      <c r="AQ49" s="349"/>
    </row>
    <row r="50" spans="1:43">
      <c r="A50" s="301"/>
      <c r="B50" s="302"/>
      <c r="C50" s="302"/>
      <c r="D50" s="301"/>
      <c r="E50" s="302"/>
      <c r="F50" s="304"/>
      <c r="G50" s="302"/>
      <c r="H50" s="302"/>
      <c r="I50" s="302"/>
      <c r="J50" s="301"/>
      <c r="K50" s="301"/>
      <c r="L50" s="301"/>
      <c r="M50" s="304"/>
      <c r="N50" s="302"/>
      <c r="O50" s="302"/>
      <c r="P50" s="301"/>
      <c r="Q50" s="302"/>
      <c r="R50" s="347">
        <f t="shared" si="6"/>
        <v>0</v>
      </c>
      <c r="S50" s="348"/>
      <c r="T50" s="348"/>
      <c r="U50" s="348"/>
      <c r="V50" s="348"/>
      <c r="W50" s="348"/>
      <c r="X50" s="426">
        <f t="shared" si="1"/>
        <v>0</v>
      </c>
      <c r="Y50" s="431"/>
      <c r="Z50" s="431"/>
      <c r="AA50" s="431"/>
      <c r="AB50" s="431"/>
      <c r="AC50" s="432">
        <f t="shared" si="2"/>
        <v>0</v>
      </c>
      <c r="AD50" s="302"/>
      <c r="AE50" s="432">
        <f t="shared" si="3"/>
        <v>0</v>
      </c>
      <c r="AF50" s="347">
        <f t="shared" si="4"/>
        <v>0</v>
      </c>
      <c r="AG50" s="348"/>
      <c r="AH50" s="348"/>
      <c r="AI50" s="348"/>
      <c r="AJ50" s="348"/>
      <c r="AK50" s="348"/>
      <c r="AL50" s="426">
        <f t="shared" si="5"/>
        <v>0</v>
      </c>
      <c r="AM50" s="431"/>
      <c r="AN50" s="431"/>
      <c r="AO50" s="431"/>
      <c r="AP50" s="431"/>
      <c r="AQ50" s="349"/>
    </row>
    <row r="51" spans="1:43">
      <c r="A51" s="301"/>
      <c r="B51" s="302"/>
      <c r="C51" s="302"/>
      <c r="D51" s="301"/>
      <c r="E51" s="302"/>
      <c r="F51" s="304"/>
      <c r="G51" s="302"/>
      <c r="H51" s="302"/>
      <c r="I51" s="302"/>
      <c r="J51" s="301"/>
      <c r="K51" s="301"/>
      <c r="L51" s="301"/>
      <c r="M51" s="304"/>
      <c r="N51" s="302"/>
      <c r="O51" s="302"/>
      <c r="P51" s="301"/>
      <c r="Q51" s="302"/>
      <c r="R51" s="347">
        <f t="shared" si="6"/>
        <v>0</v>
      </c>
      <c r="S51" s="348"/>
      <c r="T51" s="348"/>
      <c r="U51" s="348"/>
      <c r="V51" s="348"/>
      <c r="W51" s="348"/>
      <c r="X51" s="426">
        <f t="shared" si="1"/>
        <v>0</v>
      </c>
      <c r="Y51" s="431"/>
      <c r="Z51" s="431"/>
      <c r="AA51" s="431"/>
      <c r="AB51" s="431"/>
      <c r="AC51" s="432">
        <f t="shared" si="2"/>
        <v>0</v>
      </c>
      <c r="AD51" s="302"/>
      <c r="AE51" s="432">
        <f t="shared" si="3"/>
        <v>0</v>
      </c>
      <c r="AF51" s="347">
        <f t="shared" si="4"/>
        <v>0</v>
      </c>
      <c r="AG51" s="348"/>
      <c r="AH51" s="348"/>
      <c r="AI51" s="348"/>
      <c r="AJ51" s="348"/>
      <c r="AK51" s="348"/>
      <c r="AL51" s="426">
        <f t="shared" si="5"/>
        <v>0</v>
      </c>
      <c r="AM51" s="431"/>
      <c r="AN51" s="431"/>
      <c r="AO51" s="431"/>
      <c r="AP51" s="431"/>
      <c r="AQ51" s="349"/>
    </row>
    <row r="52" spans="1:43">
      <c r="A52" s="301"/>
      <c r="B52" s="302"/>
      <c r="C52" s="302"/>
      <c r="D52" s="301"/>
      <c r="E52" s="302"/>
      <c r="F52" s="304"/>
      <c r="G52" s="302"/>
      <c r="H52" s="302"/>
      <c r="I52" s="302"/>
      <c r="J52" s="301"/>
      <c r="K52" s="301"/>
      <c r="L52" s="301"/>
      <c r="M52" s="304"/>
      <c r="N52" s="302"/>
      <c r="O52" s="302"/>
      <c r="P52" s="301"/>
      <c r="Q52" s="302"/>
      <c r="R52" s="347">
        <f t="shared" si="6"/>
        <v>0</v>
      </c>
      <c r="S52" s="348"/>
      <c r="T52" s="348"/>
      <c r="U52" s="348"/>
      <c r="V52" s="348"/>
      <c r="W52" s="348"/>
      <c r="X52" s="426">
        <f t="shared" si="1"/>
        <v>0</v>
      </c>
      <c r="Y52" s="431"/>
      <c r="Z52" s="431"/>
      <c r="AA52" s="431"/>
      <c r="AB52" s="431"/>
      <c r="AC52" s="432">
        <f t="shared" si="2"/>
        <v>0</v>
      </c>
      <c r="AD52" s="302"/>
      <c r="AE52" s="432">
        <f t="shared" si="3"/>
        <v>0</v>
      </c>
      <c r="AF52" s="347">
        <f t="shared" si="4"/>
        <v>0</v>
      </c>
      <c r="AG52" s="348"/>
      <c r="AH52" s="348"/>
      <c r="AI52" s="348"/>
      <c r="AJ52" s="348"/>
      <c r="AK52" s="348"/>
      <c r="AL52" s="426">
        <f t="shared" si="5"/>
        <v>0</v>
      </c>
      <c r="AM52" s="431"/>
      <c r="AN52" s="431"/>
      <c r="AO52" s="431"/>
      <c r="AP52" s="431"/>
      <c r="AQ52" s="349"/>
    </row>
    <row r="53" spans="1:43">
      <c r="A53" s="301"/>
      <c r="B53" s="302"/>
      <c r="C53" s="302"/>
      <c r="D53" s="301"/>
      <c r="E53" s="302"/>
      <c r="F53" s="304"/>
      <c r="G53" s="302"/>
      <c r="H53" s="302"/>
      <c r="I53" s="302"/>
      <c r="J53" s="301"/>
      <c r="K53" s="301"/>
      <c r="L53" s="301"/>
      <c r="M53" s="304"/>
      <c r="N53" s="302"/>
      <c r="O53" s="302"/>
      <c r="P53" s="301"/>
      <c r="Q53" s="302"/>
      <c r="R53" s="347">
        <f t="shared" si="6"/>
        <v>0</v>
      </c>
      <c r="S53" s="348"/>
      <c r="T53" s="348"/>
      <c r="U53" s="348"/>
      <c r="V53" s="348"/>
      <c r="W53" s="348"/>
      <c r="X53" s="426">
        <f t="shared" si="1"/>
        <v>0</v>
      </c>
      <c r="Y53" s="431"/>
      <c r="Z53" s="431"/>
      <c r="AA53" s="431"/>
      <c r="AB53" s="431"/>
      <c r="AC53" s="432">
        <f t="shared" si="2"/>
        <v>0</v>
      </c>
      <c r="AD53" s="302"/>
      <c r="AE53" s="432">
        <f t="shared" si="3"/>
        <v>0</v>
      </c>
      <c r="AF53" s="347">
        <f t="shared" si="4"/>
        <v>0</v>
      </c>
      <c r="AG53" s="348"/>
      <c r="AH53" s="348"/>
      <c r="AI53" s="348"/>
      <c r="AJ53" s="348"/>
      <c r="AK53" s="348"/>
      <c r="AL53" s="426">
        <f t="shared" si="5"/>
        <v>0</v>
      </c>
      <c r="AM53" s="431"/>
      <c r="AN53" s="431"/>
      <c r="AO53" s="431"/>
      <c r="AP53" s="431"/>
      <c r="AQ53" s="349"/>
    </row>
    <row r="54" spans="1:43">
      <c r="A54" s="301"/>
      <c r="B54" s="302"/>
      <c r="C54" s="302"/>
      <c r="D54" s="301"/>
      <c r="E54" s="302"/>
      <c r="F54" s="304"/>
      <c r="G54" s="302"/>
      <c r="H54" s="302"/>
      <c r="I54" s="302"/>
      <c r="J54" s="301"/>
      <c r="K54" s="301"/>
      <c r="L54" s="301"/>
      <c r="M54" s="304"/>
      <c r="N54" s="302"/>
      <c r="O54" s="302"/>
      <c r="P54" s="301"/>
      <c r="Q54" s="302"/>
      <c r="R54" s="347">
        <f t="shared" si="6"/>
        <v>0</v>
      </c>
      <c r="S54" s="348"/>
      <c r="T54" s="348"/>
      <c r="U54" s="348"/>
      <c r="V54" s="348"/>
      <c r="W54" s="348"/>
      <c r="X54" s="426">
        <f t="shared" si="1"/>
        <v>0</v>
      </c>
      <c r="Y54" s="431"/>
      <c r="Z54" s="431"/>
      <c r="AA54" s="431"/>
      <c r="AB54" s="431"/>
      <c r="AC54" s="432">
        <f t="shared" si="2"/>
        <v>0</v>
      </c>
      <c r="AD54" s="302"/>
      <c r="AE54" s="432">
        <f t="shared" si="3"/>
        <v>0</v>
      </c>
      <c r="AF54" s="347">
        <f t="shared" si="4"/>
        <v>0</v>
      </c>
      <c r="AG54" s="348"/>
      <c r="AH54" s="348"/>
      <c r="AI54" s="348"/>
      <c r="AJ54" s="348"/>
      <c r="AK54" s="348"/>
      <c r="AL54" s="426">
        <f t="shared" si="5"/>
        <v>0</v>
      </c>
      <c r="AM54" s="431"/>
      <c r="AN54" s="431"/>
      <c r="AO54" s="431"/>
      <c r="AP54" s="431"/>
      <c r="AQ54" s="349"/>
    </row>
    <row r="55" spans="1:43">
      <c r="A55" s="301"/>
      <c r="B55" s="302"/>
      <c r="C55" s="302"/>
      <c r="D55" s="301"/>
      <c r="E55" s="302"/>
      <c r="F55" s="304"/>
      <c r="G55" s="302"/>
      <c r="H55" s="302"/>
      <c r="I55" s="302"/>
      <c r="J55" s="301"/>
      <c r="K55" s="301"/>
      <c r="L55" s="301"/>
      <c r="M55" s="304"/>
      <c r="N55" s="302"/>
      <c r="O55" s="302"/>
      <c r="P55" s="301"/>
      <c r="Q55" s="302"/>
      <c r="R55" s="347">
        <f t="shared" si="6"/>
        <v>0</v>
      </c>
      <c r="S55" s="348"/>
      <c r="T55" s="348"/>
      <c r="U55" s="348"/>
      <c r="V55" s="348"/>
      <c r="W55" s="348"/>
      <c r="X55" s="426">
        <f t="shared" si="1"/>
        <v>0</v>
      </c>
      <c r="Y55" s="431"/>
      <c r="Z55" s="431"/>
      <c r="AA55" s="431"/>
      <c r="AB55" s="431"/>
      <c r="AC55" s="432">
        <f t="shared" si="2"/>
        <v>0</v>
      </c>
      <c r="AD55" s="302"/>
      <c r="AE55" s="432">
        <f t="shared" si="3"/>
        <v>0</v>
      </c>
      <c r="AF55" s="347">
        <f t="shared" si="4"/>
        <v>0</v>
      </c>
      <c r="AG55" s="348"/>
      <c r="AH55" s="348"/>
      <c r="AI55" s="348"/>
      <c r="AJ55" s="348"/>
      <c r="AK55" s="348"/>
      <c r="AL55" s="426">
        <f t="shared" si="5"/>
        <v>0</v>
      </c>
      <c r="AM55" s="431"/>
      <c r="AN55" s="431"/>
      <c r="AO55" s="431"/>
      <c r="AP55" s="431"/>
      <c r="AQ55" s="349"/>
    </row>
    <row r="56" spans="1:43">
      <c r="A56" s="301"/>
      <c r="B56" s="302"/>
      <c r="C56" s="302"/>
      <c r="D56" s="301"/>
      <c r="E56" s="302"/>
      <c r="F56" s="304"/>
      <c r="G56" s="302"/>
      <c r="H56" s="302"/>
      <c r="I56" s="302"/>
      <c r="J56" s="301"/>
      <c r="K56" s="301"/>
      <c r="L56" s="301"/>
      <c r="M56" s="304"/>
      <c r="N56" s="302"/>
      <c r="O56" s="302"/>
      <c r="P56" s="301"/>
      <c r="Q56" s="302"/>
      <c r="R56" s="347">
        <f t="shared" si="6"/>
        <v>0</v>
      </c>
      <c r="S56" s="348"/>
      <c r="T56" s="348"/>
      <c r="U56" s="348"/>
      <c r="V56" s="348"/>
      <c r="W56" s="348"/>
      <c r="X56" s="426">
        <f t="shared" si="1"/>
        <v>0</v>
      </c>
      <c r="Y56" s="431"/>
      <c r="Z56" s="431"/>
      <c r="AA56" s="431"/>
      <c r="AB56" s="431"/>
      <c r="AC56" s="432">
        <f t="shared" si="2"/>
        <v>0</v>
      </c>
      <c r="AD56" s="302"/>
      <c r="AE56" s="432">
        <f t="shared" si="3"/>
        <v>0</v>
      </c>
      <c r="AF56" s="347">
        <f t="shared" si="4"/>
        <v>0</v>
      </c>
      <c r="AG56" s="348"/>
      <c r="AH56" s="348"/>
      <c r="AI56" s="348"/>
      <c r="AJ56" s="348"/>
      <c r="AK56" s="348"/>
      <c r="AL56" s="426">
        <f t="shared" si="5"/>
        <v>0</v>
      </c>
      <c r="AM56" s="431"/>
      <c r="AN56" s="431"/>
      <c r="AO56" s="431"/>
      <c r="AP56" s="431"/>
      <c r="AQ56" s="349"/>
    </row>
    <row r="57" spans="1:43">
      <c r="A57" s="301"/>
      <c r="B57" s="302"/>
      <c r="C57" s="302"/>
      <c r="D57" s="301"/>
      <c r="E57" s="302"/>
      <c r="F57" s="304"/>
      <c r="G57" s="302"/>
      <c r="H57" s="302"/>
      <c r="I57" s="302"/>
      <c r="J57" s="301"/>
      <c r="K57" s="301"/>
      <c r="L57" s="301"/>
      <c r="M57" s="304"/>
      <c r="N57" s="302"/>
      <c r="O57" s="302"/>
      <c r="P57" s="301"/>
      <c r="Q57" s="302"/>
      <c r="R57" s="347">
        <f t="shared" si="6"/>
        <v>0</v>
      </c>
      <c r="S57" s="348"/>
      <c r="T57" s="348"/>
      <c r="U57" s="348"/>
      <c r="V57" s="348"/>
      <c r="W57" s="348"/>
      <c r="X57" s="426">
        <f t="shared" si="1"/>
        <v>0</v>
      </c>
      <c r="Y57" s="431"/>
      <c r="Z57" s="431"/>
      <c r="AA57" s="431"/>
      <c r="AB57" s="431"/>
      <c r="AC57" s="432">
        <f t="shared" si="2"/>
        <v>0</v>
      </c>
      <c r="AD57" s="302"/>
      <c r="AE57" s="432">
        <f t="shared" si="3"/>
        <v>0</v>
      </c>
      <c r="AF57" s="347">
        <f t="shared" si="4"/>
        <v>0</v>
      </c>
      <c r="AG57" s="348"/>
      <c r="AH57" s="348"/>
      <c r="AI57" s="348"/>
      <c r="AJ57" s="348"/>
      <c r="AK57" s="348"/>
      <c r="AL57" s="426">
        <f t="shared" si="5"/>
        <v>0</v>
      </c>
      <c r="AM57" s="431"/>
      <c r="AN57" s="431"/>
      <c r="AO57" s="431"/>
      <c r="AP57" s="431"/>
      <c r="AQ57" s="349"/>
    </row>
    <row r="58" spans="1:43">
      <c r="A58" s="301"/>
      <c r="B58" s="302"/>
      <c r="C58" s="302"/>
      <c r="D58" s="301"/>
      <c r="E58" s="302"/>
      <c r="F58" s="304"/>
      <c r="G58" s="302"/>
      <c r="H58" s="302"/>
      <c r="I58" s="302"/>
      <c r="J58" s="301"/>
      <c r="K58" s="301"/>
      <c r="L58" s="301"/>
      <c r="M58" s="304"/>
      <c r="N58" s="302"/>
      <c r="O58" s="302"/>
      <c r="P58" s="301"/>
      <c r="Q58" s="302"/>
      <c r="R58" s="347">
        <f t="shared" si="6"/>
        <v>0</v>
      </c>
      <c r="S58" s="348"/>
      <c r="T58" s="348"/>
      <c r="U58" s="348"/>
      <c r="V58" s="348"/>
      <c r="W58" s="348"/>
      <c r="X58" s="426">
        <f t="shared" si="1"/>
        <v>0</v>
      </c>
      <c r="Y58" s="431"/>
      <c r="Z58" s="431"/>
      <c r="AA58" s="431"/>
      <c r="AB58" s="431"/>
      <c r="AC58" s="432">
        <f t="shared" si="2"/>
        <v>0</v>
      </c>
      <c r="AD58" s="302"/>
      <c r="AE58" s="432">
        <f t="shared" si="3"/>
        <v>0</v>
      </c>
      <c r="AF58" s="347">
        <f t="shared" si="4"/>
        <v>0</v>
      </c>
      <c r="AG58" s="348"/>
      <c r="AH58" s="348"/>
      <c r="AI58" s="348"/>
      <c r="AJ58" s="348"/>
      <c r="AK58" s="348"/>
      <c r="AL58" s="426">
        <f t="shared" si="5"/>
        <v>0</v>
      </c>
      <c r="AM58" s="431"/>
      <c r="AN58" s="431"/>
      <c r="AO58" s="431"/>
      <c r="AP58" s="431"/>
      <c r="AQ58" s="349"/>
    </row>
    <row r="59" spans="1:43">
      <c r="A59" s="301"/>
      <c r="B59" s="302"/>
      <c r="C59" s="302"/>
      <c r="D59" s="301"/>
      <c r="E59" s="302"/>
      <c r="F59" s="304"/>
      <c r="G59" s="302"/>
      <c r="H59" s="302"/>
      <c r="I59" s="302"/>
      <c r="J59" s="301"/>
      <c r="K59" s="301"/>
      <c r="L59" s="301"/>
      <c r="M59" s="304"/>
      <c r="N59" s="302"/>
      <c r="O59" s="302"/>
      <c r="P59" s="301"/>
      <c r="Q59" s="302"/>
      <c r="R59" s="347">
        <f t="shared" si="6"/>
        <v>0</v>
      </c>
      <c r="S59" s="348"/>
      <c r="T59" s="348"/>
      <c r="U59" s="348"/>
      <c r="V59" s="348"/>
      <c r="W59" s="348"/>
      <c r="X59" s="426">
        <f t="shared" si="1"/>
        <v>0</v>
      </c>
      <c r="Y59" s="431"/>
      <c r="Z59" s="431"/>
      <c r="AA59" s="431"/>
      <c r="AB59" s="431"/>
      <c r="AC59" s="432">
        <f t="shared" si="2"/>
        <v>0</v>
      </c>
      <c r="AD59" s="302"/>
      <c r="AE59" s="432">
        <f t="shared" si="3"/>
        <v>0</v>
      </c>
      <c r="AF59" s="347">
        <f t="shared" si="4"/>
        <v>0</v>
      </c>
      <c r="AG59" s="348"/>
      <c r="AH59" s="348"/>
      <c r="AI59" s="348"/>
      <c r="AJ59" s="348"/>
      <c r="AK59" s="348"/>
      <c r="AL59" s="426">
        <f t="shared" si="5"/>
        <v>0</v>
      </c>
      <c r="AM59" s="431"/>
      <c r="AN59" s="431"/>
      <c r="AO59" s="431"/>
      <c r="AP59" s="431"/>
      <c r="AQ59" s="349"/>
    </row>
    <row r="60" spans="1:43">
      <c r="A60" s="301"/>
      <c r="B60" s="302"/>
      <c r="C60" s="302"/>
      <c r="D60" s="301"/>
      <c r="E60" s="302"/>
      <c r="F60" s="304"/>
      <c r="G60" s="302"/>
      <c r="H60" s="302"/>
      <c r="I60" s="302"/>
      <c r="J60" s="301"/>
      <c r="K60" s="301"/>
      <c r="L60" s="301"/>
      <c r="M60" s="304"/>
      <c r="N60" s="302"/>
      <c r="O60" s="302"/>
      <c r="P60" s="301"/>
      <c r="Q60" s="302"/>
      <c r="R60" s="347">
        <f t="shared" si="6"/>
        <v>0</v>
      </c>
      <c r="S60" s="348"/>
      <c r="T60" s="348"/>
      <c r="U60" s="348"/>
      <c r="V60" s="348"/>
      <c r="W60" s="348"/>
      <c r="X60" s="426">
        <f t="shared" si="1"/>
        <v>0</v>
      </c>
      <c r="Y60" s="431"/>
      <c r="Z60" s="431"/>
      <c r="AA60" s="431"/>
      <c r="AB60" s="431"/>
      <c r="AC60" s="432">
        <f t="shared" si="2"/>
        <v>0</v>
      </c>
      <c r="AD60" s="302"/>
      <c r="AE60" s="432">
        <f t="shared" si="3"/>
        <v>0</v>
      </c>
      <c r="AF60" s="347">
        <f t="shared" si="4"/>
        <v>0</v>
      </c>
      <c r="AG60" s="348"/>
      <c r="AH60" s="348"/>
      <c r="AI60" s="348"/>
      <c r="AJ60" s="348"/>
      <c r="AK60" s="348"/>
      <c r="AL60" s="426">
        <f t="shared" si="5"/>
        <v>0</v>
      </c>
      <c r="AM60" s="431"/>
      <c r="AN60" s="431"/>
      <c r="AO60" s="431"/>
      <c r="AP60" s="431"/>
      <c r="AQ60" s="349"/>
    </row>
    <row r="61" spans="1:43">
      <c r="A61" s="301"/>
      <c r="B61" s="302"/>
      <c r="C61" s="302"/>
      <c r="D61" s="301"/>
      <c r="E61" s="302"/>
      <c r="F61" s="304"/>
      <c r="G61" s="302"/>
      <c r="H61" s="302"/>
      <c r="I61" s="302"/>
      <c r="J61" s="301"/>
      <c r="K61" s="301"/>
      <c r="L61" s="301"/>
      <c r="M61" s="304"/>
      <c r="N61" s="302"/>
      <c r="O61" s="302"/>
      <c r="P61" s="301"/>
      <c r="Q61" s="302"/>
      <c r="R61" s="347">
        <f t="shared" si="6"/>
        <v>0</v>
      </c>
      <c r="S61" s="348"/>
      <c r="T61" s="348"/>
      <c r="U61" s="348"/>
      <c r="V61" s="348"/>
      <c r="W61" s="348"/>
      <c r="X61" s="426">
        <f t="shared" si="1"/>
        <v>0</v>
      </c>
      <c r="Y61" s="431"/>
      <c r="Z61" s="431"/>
      <c r="AA61" s="431"/>
      <c r="AB61" s="431"/>
      <c r="AC61" s="432">
        <f t="shared" si="2"/>
        <v>0</v>
      </c>
      <c r="AD61" s="302"/>
      <c r="AE61" s="432">
        <f t="shared" si="3"/>
        <v>0</v>
      </c>
      <c r="AF61" s="347">
        <f t="shared" si="4"/>
        <v>0</v>
      </c>
      <c r="AG61" s="348"/>
      <c r="AH61" s="348"/>
      <c r="AI61" s="348"/>
      <c r="AJ61" s="348"/>
      <c r="AK61" s="348"/>
      <c r="AL61" s="426">
        <f t="shared" si="5"/>
        <v>0</v>
      </c>
      <c r="AM61" s="431"/>
      <c r="AN61" s="431"/>
      <c r="AO61" s="431"/>
      <c r="AP61" s="431"/>
      <c r="AQ61" s="349"/>
    </row>
    <row r="62" spans="1:43">
      <c r="A62" s="301"/>
      <c r="B62" s="302"/>
      <c r="C62" s="302"/>
      <c r="D62" s="301"/>
      <c r="E62" s="302"/>
      <c r="F62" s="304"/>
      <c r="G62" s="302"/>
      <c r="H62" s="302"/>
      <c r="I62" s="302"/>
      <c r="J62" s="301"/>
      <c r="K62" s="301"/>
      <c r="L62" s="301"/>
      <c r="M62" s="304"/>
      <c r="N62" s="302"/>
      <c r="O62" s="302"/>
      <c r="P62" s="301"/>
      <c r="Q62" s="302"/>
      <c r="R62" s="347">
        <f t="shared" si="6"/>
        <v>0</v>
      </c>
      <c r="S62" s="348"/>
      <c r="T62" s="348"/>
      <c r="U62" s="348"/>
      <c r="V62" s="348"/>
      <c r="W62" s="348"/>
      <c r="X62" s="426">
        <f t="shared" si="1"/>
        <v>0</v>
      </c>
      <c r="Y62" s="431"/>
      <c r="Z62" s="431"/>
      <c r="AA62" s="431"/>
      <c r="AB62" s="431"/>
      <c r="AC62" s="432">
        <f t="shared" si="2"/>
        <v>0</v>
      </c>
      <c r="AD62" s="302"/>
      <c r="AE62" s="432">
        <f t="shared" si="3"/>
        <v>0</v>
      </c>
      <c r="AF62" s="347">
        <f t="shared" si="4"/>
        <v>0</v>
      </c>
      <c r="AG62" s="348"/>
      <c r="AH62" s="348"/>
      <c r="AI62" s="348"/>
      <c r="AJ62" s="348"/>
      <c r="AK62" s="348"/>
      <c r="AL62" s="426">
        <f t="shared" si="5"/>
        <v>0</v>
      </c>
      <c r="AM62" s="431"/>
      <c r="AN62" s="431"/>
      <c r="AO62" s="431"/>
      <c r="AP62" s="431"/>
      <c r="AQ62" s="349"/>
    </row>
    <row r="63" spans="1:43">
      <c r="A63" s="301"/>
      <c r="B63" s="302"/>
      <c r="C63" s="302"/>
      <c r="D63" s="301"/>
      <c r="E63" s="302"/>
      <c r="F63" s="304"/>
      <c r="G63" s="302"/>
      <c r="H63" s="302"/>
      <c r="I63" s="302"/>
      <c r="J63" s="301"/>
      <c r="K63" s="301"/>
      <c r="L63" s="301"/>
      <c r="M63" s="304"/>
      <c r="N63" s="302"/>
      <c r="O63" s="302"/>
      <c r="P63" s="301"/>
      <c r="Q63" s="302"/>
      <c r="R63" s="347">
        <f t="shared" si="6"/>
        <v>0</v>
      </c>
      <c r="S63" s="348"/>
      <c r="T63" s="348"/>
      <c r="U63" s="348"/>
      <c r="V63" s="348"/>
      <c r="W63" s="348"/>
      <c r="X63" s="426">
        <f t="shared" si="1"/>
        <v>0</v>
      </c>
      <c r="Y63" s="431"/>
      <c r="Z63" s="431"/>
      <c r="AA63" s="431"/>
      <c r="AB63" s="431"/>
      <c r="AC63" s="432">
        <f t="shared" si="2"/>
        <v>0</v>
      </c>
      <c r="AD63" s="302"/>
      <c r="AE63" s="432">
        <f t="shared" si="3"/>
        <v>0</v>
      </c>
      <c r="AF63" s="347">
        <f t="shared" si="4"/>
        <v>0</v>
      </c>
      <c r="AG63" s="348"/>
      <c r="AH63" s="348"/>
      <c r="AI63" s="348"/>
      <c r="AJ63" s="348"/>
      <c r="AK63" s="348"/>
      <c r="AL63" s="426">
        <f t="shared" si="5"/>
        <v>0</v>
      </c>
      <c r="AM63" s="431"/>
      <c r="AN63" s="431"/>
      <c r="AO63" s="431"/>
      <c r="AP63" s="431"/>
      <c r="AQ63" s="349"/>
    </row>
    <row r="64" spans="1:43">
      <c r="A64" s="301"/>
      <c r="B64" s="302"/>
      <c r="C64" s="302"/>
      <c r="D64" s="301"/>
      <c r="E64" s="302"/>
      <c r="F64" s="304"/>
      <c r="G64" s="302"/>
      <c r="H64" s="302"/>
      <c r="I64" s="302"/>
      <c r="J64" s="301"/>
      <c r="K64" s="301"/>
      <c r="L64" s="301"/>
      <c r="M64" s="304"/>
      <c r="N64" s="302"/>
      <c r="O64" s="302"/>
      <c r="P64" s="301"/>
      <c r="Q64" s="302"/>
      <c r="R64" s="347">
        <f t="shared" si="6"/>
        <v>0</v>
      </c>
      <c r="S64" s="348"/>
      <c r="T64" s="348"/>
      <c r="U64" s="348"/>
      <c r="V64" s="348"/>
      <c r="W64" s="348"/>
      <c r="X64" s="426">
        <f t="shared" ref="X64:X83" si="7">SUM(Y64:AB64)</f>
        <v>0</v>
      </c>
      <c r="Y64" s="431"/>
      <c r="Z64" s="431"/>
      <c r="AA64" s="431"/>
      <c r="AB64" s="431"/>
      <c r="AC64" s="432">
        <f t="shared" ref="AC64:AC83" si="8">AD64+AE64</f>
        <v>0</v>
      </c>
      <c r="AD64" s="302"/>
      <c r="AE64" s="432">
        <f t="shared" ref="AE64:AE83" si="9">AF64+AL64</f>
        <v>0</v>
      </c>
      <c r="AF64" s="347">
        <f t="shared" ref="AF64:AF83" si="10">SUM(AG64:AK64)</f>
        <v>0</v>
      </c>
      <c r="AG64" s="348"/>
      <c r="AH64" s="348"/>
      <c r="AI64" s="348"/>
      <c r="AJ64" s="348"/>
      <c r="AK64" s="348"/>
      <c r="AL64" s="426">
        <f t="shared" ref="AL64:AL83" si="11">SUM(AM64:AP64)</f>
        <v>0</v>
      </c>
      <c r="AM64" s="431"/>
      <c r="AN64" s="431"/>
      <c r="AO64" s="431"/>
      <c r="AP64" s="431"/>
      <c r="AQ64" s="349"/>
    </row>
    <row r="65" spans="1:43">
      <c r="A65" s="301"/>
      <c r="B65" s="302"/>
      <c r="C65" s="302"/>
      <c r="D65" s="301"/>
      <c r="E65" s="302"/>
      <c r="F65" s="304"/>
      <c r="G65" s="302"/>
      <c r="H65" s="302"/>
      <c r="I65" s="302"/>
      <c r="J65" s="301"/>
      <c r="K65" s="301"/>
      <c r="L65" s="301"/>
      <c r="M65" s="304"/>
      <c r="N65" s="302"/>
      <c r="O65" s="302"/>
      <c r="P65" s="301"/>
      <c r="Q65" s="302"/>
      <c r="R65" s="347">
        <f t="shared" si="6"/>
        <v>0</v>
      </c>
      <c r="S65" s="348"/>
      <c r="T65" s="348"/>
      <c r="U65" s="348"/>
      <c r="V65" s="348"/>
      <c r="W65" s="348"/>
      <c r="X65" s="426">
        <f t="shared" si="7"/>
        <v>0</v>
      </c>
      <c r="Y65" s="431"/>
      <c r="Z65" s="431"/>
      <c r="AA65" s="431"/>
      <c r="AB65" s="431"/>
      <c r="AC65" s="432">
        <f t="shared" si="8"/>
        <v>0</v>
      </c>
      <c r="AD65" s="302"/>
      <c r="AE65" s="432">
        <f t="shared" si="9"/>
        <v>0</v>
      </c>
      <c r="AF65" s="347">
        <f t="shared" si="10"/>
        <v>0</v>
      </c>
      <c r="AG65" s="348"/>
      <c r="AH65" s="348"/>
      <c r="AI65" s="348"/>
      <c r="AJ65" s="348"/>
      <c r="AK65" s="348"/>
      <c r="AL65" s="426">
        <f t="shared" si="11"/>
        <v>0</v>
      </c>
      <c r="AM65" s="431"/>
      <c r="AN65" s="431"/>
      <c r="AO65" s="431"/>
      <c r="AP65" s="431"/>
      <c r="AQ65" s="349"/>
    </row>
    <row r="66" spans="1:43">
      <c r="A66" s="301"/>
      <c r="B66" s="302"/>
      <c r="C66" s="302"/>
      <c r="D66" s="301"/>
      <c r="E66" s="302"/>
      <c r="F66" s="304"/>
      <c r="G66" s="302"/>
      <c r="H66" s="302"/>
      <c r="I66" s="302"/>
      <c r="J66" s="301"/>
      <c r="K66" s="301"/>
      <c r="L66" s="301"/>
      <c r="M66" s="304"/>
      <c r="N66" s="302"/>
      <c r="O66" s="302"/>
      <c r="P66" s="301"/>
      <c r="Q66" s="302"/>
      <c r="R66" s="347">
        <f t="shared" si="6"/>
        <v>0</v>
      </c>
      <c r="S66" s="348"/>
      <c r="T66" s="348"/>
      <c r="U66" s="348"/>
      <c r="V66" s="348"/>
      <c r="W66" s="348"/>
      <c r="X66" s="426">
        <f t="shared" si="7"/>
        <v>0</v>
      </c>
      <c r="Y66" s="431"/>
      <c r="Z66" s="431"/>
      <c r="AA66" s="431"/>
      <c r="AB66" s="431"/>
      <c r="AC66" s="432">
        <f t="shared" si="8"/>
        <v>0</v>
      </c>
      <c r="AD66" s="302"/>
      <c r="AE66" s="432">
        <f t="shared" si="9"/>
        <v>0</v>
      </c>
      <c r="AF66" s="347">
        <f t="shared" si="10"/>
        <v>0</v>
      </c>
      <c r="AG66" s="348"/>
      <c r="AH66" s="348"/>
      <c r="AI66" s="348"/>
      <c r="AJ66" s="348"/>
      <c r="AK66" s="348"/>
      <c r="AL66" s="426">
        <f t="shared" si="11"/>
        <v>0</v>
      </c>
      <c r="AM66" s="431"/>
      <c r="AN66" s="431"/>
      <c r="AO66" s="431"/>
      <c r="AP66" s="431"/>
      <c r="AQ66" s="349"/>
    </row>
    <row r="67" spans="1:43">
      <c r="A67" s="301"/>
      <c r="B67" s="302"/>
      <c r="C67" s="302"/>
      <c r="D67" s="301"/>
      <c r="E67" s="302"/>
      <c r="F67" s="304"/>
      <c r="G67" s="302"/>
      <c r="H67" s="302"/>
      <c r="I67" s="302"/>
      <c r="J67" s="301"/>
      <c r="K67" s="301"/>
      <c r="L67" s="301"/>
      <c r="M67" s="304"/>
      <c r="N67" s="302"/>
      <c r="O67" s="302"/>
      <c r="P67" s="301"/>
      <c r="Q67" s="302"/>
      <c r="R67" s="347">
        <f t="shared" si="6"/>
        <v>0</v>
      </c>
      <c r="S67" s="348"/>
      <c r="T67" s="348"/>
      <c r="U67" s="348"/>
      <c r="V67" s="348"/>
      <c r="W67" s="348"/>
      <c r="X67" s="426">
        <f t="shared" si="7"/>
        <v>0</v>
      </c>
      <c r="Y67" s="431"/>
      <c r="Z67" s="431"/>
      <c r="AA67" s="431"/>
      <c r="AB67" s="431"/>
      <c r="AC67" s="432">
        <f t="shared" si="8"/>
        <v>0</v>
      </c>
      <c r="AD67" s="302"/>
      <c r="AE67" s="432">
        <f t="shared" si="9"/>
        <v>0</v>
      </c>
      <c r="AF67" s="347">
        <f t="shared" si="10"/>
        <v>0</v>
      </c>
      <c r="AG67" s="348"/>
      <c r="AH67" s="348"/>
      <c r="AI67" s="348"/>
      <c r="AJ67" s="348"/>
      <c r="AK67" s="348"/>
      <c r="AL67" s="426">
        <f t="shared" si="11"/>
        <v>0</v>
      </c>
      <c r="AM67" s="431"/>
      <c r="AN67" s="431"/>
      <c r="AO67" s="431"/>
      <c r="AP67" s="431"/>
      <c r="AQ67" s="349"/>
    </row>
    <row r="68" spans="1:43">
      <c r="A68" s="301"/>
      <c r="B68" s="302"/>
      <c r="C68" s="302"/>
      <c r="D68" s="301"/>
      <c r="E68" s="302"/>
      <c r="F68" s="304"/>
      <c r="G68" s="302"/>
      <c r="H68" s="302"/>
      <c r="I68" s="302"/>
      <c r="J68" s="301"/>
      <c r="K68" s="301"/>
      <c r="L68" s="301"/>
      <c r="M68" s="304"/>
      <c r="N68" s="302"/>
      <c r="O68" s="302"/>
      <c r="P68" s="301"/>
      <c r="Q68" s="302"/>
      <c r="R68" s="347">
        <f t="shared" ref="R68:R83" si="12">SUM(S68:W68)</f>
        <v>0</v>
      </c>
      <c r="S68" s="348"/>
      <c r="T68" s="348"/>
      <c r="U68" s="348"/>
      <c r="V68" s="348"/>
      <c r="W68" s="348"/>
      <c r="X68" s="426">
        <f t="shared" si="7"/>
        <v>0</v>
      </c>
      <c r="Y68" s="431"/>
      <c r="Z68" s="431"/>
      <c r="AA68" s="431"/>
      <c r="AB68" s="431"/>
      <c r="AC68" s="432">
        <f t="shared" si="8"/>
        <v>0</v>
      </c>
      <c r="AD68" s="302"/>
      <c r="AE68" s="432">
        <f t="shared" si="9"/>
        <v>0</v>
      </c>
      <c r="AF68" s="347">
        <f t="shared" si="10"/>
        <v>0</v>
      </c>
      <c r="AG68" s="348"/>
      <c r="AH68" s="348"/>
      <c r="AI68" s="348"/>
      <c r="AJ68" s="348"/>
      <c r="AK68" s="348"/>
      <c r="AL68" s="426">
        <f t="shared" si="11"/>
        <v>0</v>
      </c>
      <c r="AM68" s="431"/>
      <c r="AN68" s="431"/>
      <c r="AO68" s="431"/>
      <c r="AP68" s="431"/>
      <c r="AQ68" s="349"/>
    </row>
    <row r="69" spans="1:43">
      <c r="A69" s="301"/>
      <c r="B69" s="302"/>
      <c r="C69" s="302"/>
      <c r="D69" s="301"/>
      <c r="E69" s="302"/>
      <c r="F69" s="304"/>
      <c r="G69" s="302"/>
      <c r="H69" s="302"/>
      <c r="I69" s="302"/>
      <c r="J69" s="301"/>
      <c r="K69" s="301"/>
      <c r="L69" s="301"/>
      <c r="M69" s="304"/>
      <c r="N69" s="302"/>
      <c r="O69" s="302"/>
      <c r="P69" s="301"/>
      <c r="Q69" s="302"/>
      <c r="R69" s="347">
        <f t="shared" si="12"/>
        <v>0</v>
      </c>
      <c r="S69" s="348"/>
      <c r="T69" s="348"/>
      <c r="U69" s="348"/>
      <c r="V69" s="348"/>
      <c r="W69" s="348"/>
      <c r="X69" s="426">
        <f t="shared" si="7"/>
        <v>0</v>
      </c>
      <c r="Y69" s="431"/>
      <c r="Z69" s="431"/>
      <c r="AA69" s="431"/>
      <c r="AB69" s="431"/>
      <c r="AC69" s="432">
        <f t="shared" si="8"/>
        <v>0</v>
      </c>
      <c r="AD69" s="302"/>
      <c r="AE69" s="432">
        <f t="shared" si="9"/>
        <v>0</v>
      </c>
      <c r="AF69" s="347">
        <f t="shared" si="10"/>
        <v>0</v>
      </c>
      <c r="AG69" s="348"/>
      <c r="AH69" s="348"/>
      <c r="AI69" s="348"/>
      <c r="AJ69" s="348"/>
      <c r="AK69" s="348"/>
      <c r="AL69" s="426">
        <f t="shared" si="11"/>
        <v>0</v>
      </c>
      <c r="AM69" s="431"/>
      <c r="AN69" s="431"/>
      <c r="AO69" s="431"/>
      <c r="AP69" s="431"/>
      <c r="AQ69" s="349"/>
    </row>
    <row r="70" spans="1:43">
      <c r="A70" s="301"/>
      <c r="B70" s="302"/>
      <c r="C70" s="302"/>
      <c r="D70" s="301"/>
      <c r="E70" s="302"/>
      <c r="F70" s="304"/>
      <c r="G70" s="302"/>
      <c r="H70" s="302"/>
      <c r="I70" s="302"/>
      <c r="J70" s="301"/>
      <c r="K70" s="301"/>
      <c r="L70" s="301"/>
      <c r="M70" s="304"/>
      <c r="N70" s="302"/>
      <c r="O70" s="302"/>
      <c r="P70" s="301"/>
      <c r="Q70" s="302"/>
      <c r="R70" s="347">
        <f t="shared" si="12"/>
        <v>0</v>
      </c>
      <c r="S70" s="348"/>
      <c r="T70" s="348"/>
      <c r="U70" s="348"/>
      <c r="V70" s="348"/>
      <c r="W70" s="348"/>
      <c r="X70" s="426">
        <f t="shared" si="7"/>
        <v>0</v>
      </c>
      <c r="Y70" s="431"/>
      <c r="Z70" s="431"/>
      <c r="AA70" s="431"/>
      <c r="AB70" s="431"/>
      <c r="AC70" s="432">
        <f t="shared" si="8"/>
        <v>0</v>
      </c>
      <c r="AD70" s="302"/>
      <c r="AE70" s="432">
        <f t="shared" si="9"/>
        <v>0</v>
      </c>
      <c r="AF70" s="347">
        <f t="shared" si="10"/>
        <v>0</v>
      </c>
      <c r="AG70" s="348"/>
      <c r="AH70" s="348"/>
      <c r="AI70" s="348"/>
      <c r="AJ70" s="348"/>
      <c r="AK70" s="348"/>
      <c r="AL70" s="426">
        <f t="shared" si="11"/>
        <v>0</v>
      </c>
      <c r="AM70" s="431"/>
      <c r="AN70" s="431"/>
      <c r="AO70" s="431"/>
      <c r="AP70" s="431"/>
      <c r="AQ70" s="349"/>
    </row>
    <row r="71" spans="1:43">
      <c r="A71" s="301"/>
      <c r="B71" s="302"/>
      <c r="C71" s="302"/>
      <c r="D71" s="301"/>
      <c r="E71" s="302"/>
      <c r="F71" s="304"/>
      <c r="G71" s="302"/>
      <c r="H71" s="302"/>
      <c r="I71" s="302"/>
      <c r="J71" s="301"/>
      <c r="K71" s="301"/>
      <c r="L71" s="301"/>
      <c r="M71" s="304"/>
      <c r="N71" s="302"/>
      <c r="O71" s="302"/>
      <c r="P71" s="301"/>
      <c r="Q71" s="302"/>
      <c r="R71" s="347">
        <f t="shared" si="12"/>
        <v>0</v>
      </c>
      <c r="S71" s="348"/>
      <c r="T71" s="348"/>
      <c r="U71" s="348"/>
      <c r="V71" s="348"/>
      <c r="W71" s="348"/>
      <c r="X71" s="426">
        <f t="shared" si="7"/>
        <v>0</v>
      </c>
      <c r="Y71" s="431"/>
      <c r="Z71" s="431"/>
      <c r="AA71" s="431"/>
      <c r="AB71" s="431"/>
      <c r="AC71" s="432">
        <f t="shared" si="8"/>
        <v>0</v>
      </c>
      <c r="AD71" s="302"/>
      <c r="AE71" s="432">
        <f t="shared" si="9"/>
        <v>0</v>
      </c>
      <c r="AF71" s="347">
        <f t="shared" si="10"/>
        <v>0</v>
      </c>
      <c r="AG71" s="348"/>
      <c r="AH71" s="348"/>
      <c r="AI71" s="348"/>
      <c r="AJ71" s="348"/>
      <c r="AK71" s="348"/>
      <c r="AL71" s="426">
        <f t="shared" si="11"/>
        <v>0</v>
      </c>
      <c r="AM71" s="431"/>
      <c r="AN71" s="431"/>
      <c r="AO71" s="431"/>
      <c r="AP71" s="431"/>
      <c r="AQ71" s="349"/>
    </row>
    <row r="72" spans="1:43">
      <c r="A72" s="301"/>
      <c r="B72" s="302"/>
      <c r="C72" s="302"/>
      <c r="D72" s="301"/>
      <c r="E72" s="302"/>
      <c r="F72" s="304"/>
      <c r="G72" s="302"/>
      <c r="H72" s="302"/>
      <c r="I72" s="302"/>
      <c r="J72" s="301"/>
      <c r="K72" s="301"/>
      <c r="L72" s="301"/>
      <c r="M72" s="304"/>
      <c r="N72" s="302"/>
      <c r="O72" s="302"/>
      <c r="P72" s="301"/>
      <c r="Q72" s="302"/>
      <c r="R72" s="347">
        <f t="shared" si="12"/>
        <v>0</v>
      </c>
      <c r="S72" s="348"/>
      <c r="T72" s="348"/>
      <c r="U72" s="348"/>
      <c r="V72" s="348"/>
      <c r="W72" s="348"/>
      <c r="X72" s="426">
        <f t="shared" si="7"/>
        <v>0</v>
      </c>
      <c r="Y72" s="431"/>
      <c r="Z72" s="431"/>
      <c r="AA72" s="431"/>
      <c r="AB72" s="431"/>
      <c r="AC72" s="432">
        <f t="shared" si="8"/>
        <v>0</v>
      </c>
      <c r="AD72" s="302"/>
      <c r="AE72" s="432">
        <f t="shared" si="9"/>
        <v>0</v>
      </c>
      <c r="AF72" s="347">
        <f t="shared" si="10"/>
        <v>0</v>
      </c>
      <c r="AG72" s="348"/>
      <c r="AH72" s="348"/>
      <c r="AI72" s="348"/>
      <c r="AJ72" s="348"/>
      <c r="AK72" s="348"/>
      <c r="AL72" s="426">
        <f t="shared" si="11"/>
        <v>0</v>
      </c>
      <c r="AM72" s="431"/>
      <c r="AN72" s="431"/>
      <c r="AO72" s="431"/>
      <c r="AP72" s="431"/>
      <c r="AQ72" s="349"/>
    </row>
    <row r="73" spans="1:43">
      <c r="A73" s="301"/>
      <c r="B73" s="302"/>
      <c r="C73" s="302"/>
      <c r="D73" s="301"/>
      <c r="E73" s="302"/>
      <c r="F73" s="304"/>
      <c r="G73" s="302"/>
      <c r="H73" s="302"/>
      <c r="I73" s="302"/>
      <c r="J73" s="301"/>
      <c r="K73" s="301"/>
      <c r="L73" s="301"/>
      <c r="M73" s="304"/>
      <c r="N73" s="302"/>
      <c r="O73" s="302"/>
      <c r="P73" s="301"/>
      <c r="Q73" s="302"/>
      <c r="R73" s="347">
        <f t="shared" si="12"/>
        <v>0</v>
      </c>
      <c r="S73" s="348"/>
      <c r="T73" s="348"/>
      <c r="U73" s="348"/>
      <c r="V73" s="348"/>
      <c r="W73" s="348"/>
      <c r="X73" s="426">
        <f t="shared" si="7"/>
        <v>0</v>
      </c>
      <c r="Y73" s="431"/>
      <c r="Z73" s="431"/>
      <c r="AA73" s="431"/>
      <c r="AB73" s="431"/>
      <c r="AC73" s="432">
        <f t="shared" si="8"/>
        <v>0</v>
      </c>
      <c r="AD73" s="302"/>
      <c r="AE73" s="432">
        <f t="shared" si="9"/>
        <v>0</v>
      </c>
      <c r="AF73" s="347">
        <f t="shared" si="10"/>
        <v>0</v>
      </c>
      <c r="AG73" s="348"/>
      <c r="AH73" s="348"/>
      <c r="AI73" s="348"/>
      <c r="AJ73" s="348"/>
      <c r="AK73" s="348"/>
      <c r="AL73" s="426">
        <f t="shared" si="11"/>
        <v>0</v>
      </c>
      <c r="AM73" s="431"/>
      <c r="AN73" s="431"/>
      <c r="AO73" s="431"/>
      <c r="AP73" s="431"/>
      <c r="AQ73" s="349"/>
    </row>
    <row r="74" spans="1:43">
      <c r="A74" s="301"/>
      <c r="B74" s="302"/>
      <c r="C74" s="302"/>
      <c r="D74" s="301"/>
      <c r="E74" s="302"/>
      <c r="F74" s="304"/>
      <c r="G74" s="302"/>
      <c r="H74" s="302"/>
      <c r="I74" s="302"/>
      <c r="J74" s="301"/>
      <c r="K74" s="301"/>
      <c r="L74" s="301"/>
      <c r="M74" s="304"/>
      <c r="N74" s="302"/>
      <c r="O74" s="302"/>
      <c r="P74" s="301"/>
      <c r="Q74" s="302"/>
      <c r="R74" s="347">
        <f t="shared" si="12"/>
        <v>0</v>
      </c>
      <c r="S74" s="348"/>
      <c r="T74" s="348"/>
      <c r="U74" s="348"/>
      <c r="V74" s="348"/>
      <c r="W74" s="348"/>
      <c r="X74" s="426">
        <f t="shared" si="7"/>
        <v>0</v>
      </c>
      <c r="Y74" s="431"/>
      <c r="Z74" s="431"/>
      <c r="AA74" s="431"/>
      <c r="AB74" s="431"/>
      <c r="AC74" s="432">
        <f t="shared" si="8"/>
        <v>0</v>
      </c>
      <c r="AD74" s="302"/>
      <c r="AE74" s="432">
        <f t="shared" si="9"/>
        <v>0</v>
      </c>
      <c r="AF74" s="347">
        <f t="shared" si="10"/>
        <v>0</v>
      </c>
      <c r="AG74" s="348"/>
      <c r="AH74" s="348"/>
      <c r="AI74" s="348"/>
      <c r="AJ74" s="348"/>
      <c r="AK74" s="348"/>
      <c r="AL74" s="426">
        <f t="shared" si="11"/>
        <v>0</v>
      </c>
      <c r="AM74" s="431"/>
      <c r="AN74" s="431"/>
      <c r="AO74" s="431"/>
      <c r="AP74" s="431"/>
      <c r="AQ74" s="349"/>
    </row>
    <row r="75" spans="1:43">
      <c r="A75" s="301"/>
      <c r="B75" s="302"/>
      <c r="C75" s="302"/>
      <c r="D75" s="301"/>
      <c r="E75" s="302"/>
      <c r="F75" s="304"/>
      <c r="G75" s="302"/>
      <c r="H75" s="302"/>
      <c r="I75" s="302"/>
      <c r="J75" s="301"/>
      <c r="K75" s="301"/>
      <c r="L75" s="301"/>
      <c r="M75" s="304"/>
      <c r="N75" s="302"/>
      <c r="O75" s="302"/>
      <c r="P75" s="301"/>
      <c r="Q75" s="302"/>
      <c r="R75" s="347">
        <f t="shared" si="12"/>
        <v>0</v>
      </c>
      <c r="S75" s="348"/>
      <c r="T75" s="348"/>
      <c r="U75" s="348"/>
      <c r="V75" s="348"/>
      <c r="W75" s="348"/>
      <c r="X75" s="426">
        <f t="shared" si="7"/>
        <v>0</v>
      </c>
      <c r="Y75" s="431"/>
      <c r="Z75" s="431"/>
      <c r="AA75" s="431"/>
      <c r="AB75" s="431"/>
      <c r="AC75" s="432">
        <f t="shared" si="8"/>
        <v>0</v>
      </c>
      <c r="AD75" s="302"/>
      <c r="AE75" s="432">
        <f t="shared" si="9"/>
        <v>0</v>
      </c>
      <c r="AF75" s="347">
        <f t="shared" si="10"/>
        <v>0</v>
      </c>
      <c r="AG75" s="348"/>
      <c r="AH75" s="348"/>
      <c r="AI75" s="348"/>
      <c r="AJ75" s="348"/>
      <c r="AK75" s="348"/>
      <c r="AL75" s="426">
        <f t="shared" si="11"/>
        <v>0</v>
      </c>
      <c r="AM75" s="431"/>
      <c r="AN75" s="431"/>
      <c r="AO75" s="431"/>
      <c r="AP75" s="431"/>
      <c r="AQ75" s="349"/>
    </row>
    <row r="76" spans="1:43">
      <c r="A76" s="301"/>
      <c r="B76" s="302"/>
      <c r="C76" s="302"/>
      <c r="D76" s="301"/>
      <c r="E76" s="302"/>
      <c r="F76" s="304"/>
      <c r="G76" s="302"/>
      <c r="H76" s="302"/>
      <c r="I76" s="302"/>
      <c r="J76" s="301"/>
      <c r="K76" s="301"/>
      <c r="L76" s="301"/>
      <c r="M76" s="304"/>
      <c r="N76" s="302"/>
      <c r="O76" s="302"/>
      <c r="P76" s="301"/>
      <c r="Q76" s="302"/>
      <c r="R76" s="347">
        <f t="shared" si="12"/>
        <v>0</v>
      </c>
      <c r="S76" s="348"/>
      <c r="T76" s="348"/>
      <c r="U76" s="348"/>
      <c r="V76" s="348"/>
      <c r="W76" s="348"/>
      <c r="X76" s="426">
        <f t="shared" si="7"/>
        <v>0</v>
      </c>
      <c r="Y76" s="431"/>
      <c r="Z76" s="431"/>
      <c r="AA76" s="431"/>
      <c r="AB76" s="431"/>
      <c r="AC76" s="432">
        <f t="shared" si="8"/>
        <v>0</v>
      </c>
      <c r="AD76" s="302"/>
      <c r="AE76" s="432">
        <f t="shared" si="9"/>
        <v>0</v>
      </c>
      <c r="AF76" s="347">
        <f t="shared" si="10"/>
        <v>0</v>
      </c>
      <c r="AG76" s="348"/>
      <c r="AH76" s="348"/>
      <c r="AI76" s="348"/>
      <c r="AJ76" s="348"/>
      <c r="AK76" s="348"/>
      <c r="AL76" s="426">
        <f t="shared" si="11"/>
        <v>0</v>
      </c>
      <c r="AM76" s="431"/>
      <c r="AN76" s="431"/>
      <c r="AO76" s="431"/>
      <c r="AP76" s="431"/>
      <c r="AQ76" s="349"/>
    </row>
    <row r="77" spans="1:43">
      <c r="A77" s="301"/>
      <c r="B77" s="302"/>
      <c r="C77" s="302"/>
      <c r="D77" s="301"/>
      <c r="E77" s="302"/>
      <c r="F77" s="304"/>
      <c r="G77" s="302"/>
      <c r="H77" s="302"/>
      <c r="I77" s="302"/>
      <c r="J77" s="301"/>
      <c r="K77" s="301"/>
      <c r="L77" s="301"/>
      <c r="M77" s="304"/>
      <c r="N77" s="302"/>
      <c r="O77" s="302"/>
      <c r="P77" s="301"/>
      <c r="Q77" s="302"/>
      <c r="R77" s="347">
        <f t="shared" si="12"/>
        <v>0</v>
      </c>
      <c r="S77" s="348"/>
      <c r="T77" s="348"/>
      <c r="U77" s="348"/>
      <c r="V77" s="348"/>
      <c r="W77" s="348"/>
      <c r="X77" s="426">
        <f t="shared" si="7"/>
        <v>0</v>
      </c>
      <c r="Y77" s="431"/>
      <c r="Z77" s="431"/>
      <c r="AA77" s="431"/>
      <c r="AB77" s="431"/>
      <c r="AC77" s="432">
        <f t="shared" si="8"/>
        <v>0</v>
      </c>
      <c r="AD77" s="302"/>
      <c r="AE77" s="432">
        <f t="shared" si="9"/>
        <v>0</v>
      </c>
      <c r="AF77" s="347">
        <f t="shared" si="10"/>
        <v>0</v>
      </c>
      <c r="AG77" s="348"/>
      <c r="AH77" s="348"/>
      <c r="AI77" s="348"/>
      <c r="AJ77" s="348"/>
      <c r="AK77" s="348"/>
      <c r="AL77" s="426">
        <f t="shared" si="11"/>
        <v>0</v>
      </c>
      <c r="AM77" s="431"/>
      <c r="AN77" s="431"/>
      <c r="AO77" s="431"/>
      <c r="AP77" s="431"/>
      <c r="AQ77" s="349"/>
    </row>
    <row r="78" spans="1:43">
      <c r="A78" s="301"/>
      <c r="B78" s="302"/>
      <c r="C78" s="302"/>
      <c r="D78" s="301"/>
      <c r="E78" s="302"/>
      <c r="F78" s="304"/>
      <c r="G78" s="302"/>
      <c r="H78" s="302"/>
      <c r="I78" s="302"/>
      <c r="J78" s="301"/>
      <c r="K78" s="301"/>
      <c r="L78" s="301"/>
      <c r="M78" s="304"/>
      <c r="N78" s="302"/>
      <c r="O78" s="302"/>
      <c r="P78" s="301"/>
      <c r="Q78" s="302"/>
      <c r="R78" s="347">
        <f t="shared" si="12"/>
        <v>0</v>
      </c>
      <c r="S78" s="348"/>
      <c r="T78" s="348"/>
      <c r="U78" s="348"/>
      <c r="V78" s="348"/>
      <c r="W78" s="348"/>
      <c r="X78" s="426">
        <f t="shared" si="7"/>
        <v>0</v>
      </c>
      <c r="Y78" s="431"/>
      <c r="Z78" s="431"/>
      <c r="AA78" s="431"/>
      <c r="AB78" s="431"/>
      <c r="AC78" s="432">
        <f t="shared" si="8"/>
        <v>0</v>
      </c>
      <c r="AD78" s="302"/>
      <c r="AE78" s="432">
        <f t="shared" si="9"/>
        <v>0</v>
      </c>
      <c r="AF78" s="347">
        <f t="shared" si="10"/>
        <v>0</v>
      </c>
      <c r="AG78" s="348"/>
      <c r="AH78" s="348"/>
      <c r="AI78" s="348"/>
      <c r="AJ78" s="348"/>
      <c r="AK78" s="348"/>
      <c r="AL78" s="426">
        <f t="shared" si="11"/>
        <v>0</v>
      </c>
      <c r="AM78" s="431"/>
      <c r="AN78" s="431"/>
      <c r="AO78" s="431"/>
      <c r="AP78" s="431"/>
      <c r="AQ78" s="349"/>
    </row>
    <row r="79" spans="1:43">
      <c r="A79" s="301"/>
      <c r="B79" s="302"/>
      <c r="C79" s="302"/>
      <c r="D79" s="301"/>
      <c r="E79" s="302"/>
      <c r="F79" s="304"/>
      <c r="G79" s="302"/>
      <c r="H79" s="302"/>
      <c r="I79" s="302"/>
      <c r="J79" s="301"/>
      <c r="K79" s="301"/>
      <c r="L79" s="301"/>
      <c r="M79" s="304"/>
      <c r="N79" s="302"/>
      <c r="O79" s="302"/>
      <c r="P79" s="301"/>
      <c r="Q79" s="302"/>
      <c r="R79" s="347">
        <f t="shared" si="12"/>
        <v>0</v>
      </c>
      <c r="S79" s="348"/>
      <c r="T79" s="348"/>
      <c r="U79" s="348"/>
      <c r="V79" s="348"/>
      <c r="W79" s="348"/>
      <c r="X79" s="426">
        <f t="shared" si="7"/>
        <v>0</v>
      </c>
      <c r="Y79" s="431"/>
      <c r="Z79" s="431"/>
      <c r="AA79" s="431"/>
      <c r="AB79" s="431"/>
      <c r="AC79" s="432">
        <f t="shared" si="8"/>
        <v>0</v>
      </c>
      <c r="AD79" s="302"/>
      <c r="AE79" s="432">
        <f t="shared" si="9"/>
        <v>0</v>
      </c>
      <c r="AF79" s="347">
        <f t="shared" si="10"/>
        <v>0</v>
      </c>
      <c r="AG79" s="348"/>
      <c r="AH79" s="348"/>
      <c r="AI79" s="348"/>
      <c r="AJ79" s="348"/>
      <c r="AK79" s="348"/>
      <c r="AL79" s="426">
        <f t="shared" si="11"/>
        <v>0</v>
      </c>
      <c r="AM79" s="431"/>
      <c r="AN79" s="431"/>
      <c r="AO79" s="431"/>
      <c r="AP79" s="431"/>
      <c r="AQ79" s="349"/>
    </row>
    <row r="80" spans="1:43">
      <c r="A80" s="301"/>
      <c r="B80" s="302"/>
      <c r="C80" s="302"/>
      <c r="D80" s="301"/>
      <c r="E80" s="302"/>
      <c r="F80" s="304"/>
      <c r="G80" s="302"/>
      <c r="H80" s="302"/>
      <c r="I80" s="302"/>
      <c r="J80" s="301"/>
      <c r="K80" s="301"/>
      <c r="L80" s="301"/>
      <c r="M80" s="304"/>
      <c r="N80" s="302"/>
      <c r="O80" s="302"/>
      <c r="P80" s="301"/>
      <c r="Q80" s="302"/>
      <c r="R80" s="347">
        <f t="shared" si="12"/>
        <v>0</v>
      </c>
      <c r="S80" s="348"/>
      <c r="T80" s="348"/>
      <c r="U80" s="348"/>
      <c r="V80" s="348"/>
      <c r="W80" s="348"/>
      <c r="X80" s="426">
        <f t="shared" si="7"/>
        <v>0</v>
      </c>
      <c r="Y80" s="431"/>
      <c r="Z80" s="431"/>
      <c r="AA80" s="431"/>
      <c r="AB80" s="431"/>
      <c r="AC80" s="432">
        <f t="shared" si="8"/>
        <v>0</v>
      </c>
      <c r="AD80" s="302"/>
      <c r="AE80" s="432">
        <f t="shared" si="9"/>
        <v>0</v>
      </c>
      <c r="AF80" s="347">
        <f t="shared" si="10"/>
        <v>0</v>
      </c>
      <c r="AG80" s="348"/>
      <c r="AH80" s="348"/>
      <c r="AI80" s="348"/>
      <c r="AJ80" s="348"/>
      <c r="AK80" s="348"/>
      <c r="AL80" s="426">
        <f t="shared" si="11"/>
        <v>0</v>
      </c>
      <c r="AM80" s="431"/>
      <c r="AN80" s="431"/>
      <c r="AO80" s="431"/>
      <c r="AP80" s="431"/>
      <c r="AQ80" s="349"/>
    </row>
    <row r="81" spans="1:43">
      <c r="A81" s="301"/>
      <c r="B81" s="302"/>
      <c r="C81" s="302"/>
      <c r="D81" s="301"/>
      <c r="E81" s="302"/>
      <c r="F81" s="304"/>
      <c r="G81" s="302"/>
      <c r="H81" s="302"/>
      <c r="I81" s="302"/>
      <c r="J81" s="301"/>
      <c r="K81" s="301"/>
      <c r="L81" s="301"/>
      <c r="M81" s="304"/>
      <c r="N81" s="302"/>
      <c r="O81" s="302"/>
      <c r="P81" s="301"/>
      <c r="Q81" s="302"/>
      <c r="R81" s="347">
        <f t="shared" si="12"/>
        <v>0</v>
      </c>
      <c r="S81" s="348"/>
      <c r="T81" s="348"/>
      <c r="U81" s="348"/>
      <c r="V81" s="348"/>
      <c r="W81" s="348"/>
      <c r="X81" s="426">
        <f t="shared" si="7"/>
        <v>0</v>
      </c>
      <c r="Y81" s="431"/>
      <c r="Z81" s="431"/>
      <c r="AA81" s="431"/>
      <c r="AB81" s="431"/>
      <c r="AC81" s="432">
        <f t="shared" si="8"/>
        <v>0</v>
      </c>
      <c r="AD81" s="302"/>
      <c r="AE81" s="432">
        <f t="shared" si="9"/>
        <v>0</v>
      </c>
      <c r="AF81" s="347">
        <f t="shared" si="10"/>
        <v>0</v>
      </c>
      <c r="AG81" s="348"/>
      <c r="AH81" s="348"/>
      <c r="AI81" s="348"/>
      <c r="AJ81" s="348"/>
      <c r="AK81" s="348"/>
      <c r="AL81" s="426">
        <f t="shared" si="11"/>
        <v>0</v>
      </c>
      <c r="AM81" s="431"/>
      <c r="AN81" s="431"/>
      <c r="AO81" s="431"/>
      <c r="AP81" s="431"/>
      <c r="AQ81" s="349"/>
    </row>
    <row r="82" spans="1:43">
      <c r="A82" s="301"/>
      <c r="B82" s="302"/>
      <c r="C82" s="302"/>
      <c r="D82" s="301"/>
      <c r="E82" s="302"/>
      <c r="F82" s="304"/>
      <c r="G82" s="302"/>
      <c r="H82" s="302"/>
      <c r="I82" s="302"/>
      <c r="J82" s="301"/>
      <c r="K82" s="301"/>
      <c r="L82" s="301"/>
      <c r="M82" s="304"/>
      <c r="N82" s="302"/>
      <c r="O82" s="302"/>
      <c r="P82" s="301"/>
      <c r="Q82" s="302"/>
      <c r="R82" s="347">
        <f t="shared" si="12"/>
        <v>0</v>
      </c>
      <c r="S82" s="348"/>
      <c r="T82" s="348"/>
      <c r="U82" s="348"/>
      <c r="V82" s="348"/>
      <c r="W82" s="348"/>
      <c r="X82" s="426">
        <f t="shared" si="7"/>
        <v>0</v>
      </c>
      <c r="Y82" s="431"/>
      <c r="Z82" s="431"/>
      <c r="AA82" s="431"/>
      <c r="AB82" s="431"/>
      <c r="AC82" s="432">
        <f t="shared" si="8"/>
        <v>0</v>
      </c>
      <c r="AD82" s="302"/>
      <c r="AE82" s="432">
        <f t="shared" si="9"/>
        <v>0</v>
      </c>
      <c r="AF82" s="347">
        <f t="shared" si="10"/>
        <v>0</v>
      </c>
      <c r="AG82" s="348"/>
      <c r="AH82" s="348"/>
      <c r="AI82" s="348"/>
      <c r="AJ82" s="348"/>
      <c r="AK82" s="348"/>
      <c r="AL82" s="426">
        <f t="shared" si="11"/>
        <v>0</v>
      </c>
      <c r="AM82" s="431"/>
      <c r="AN82" s="431"/>
      <c r="AO82" s="431"/>
      <c r="AP82" s="431"/>
      <c r="AQ82" s="349"/>
    </row>
    <row r="83" spans="1:43">
      <c r="A83" s="301"/>
      <c r="B83" s="302"/>
      <c r="C83" s="302"/>
      <c r="D83" s="301"/>
      <c r="E83" s="302"/>
      <c r="F83" s="304"/>
      <c r="G83" s="302"/>
      <c r="H83" s="302"/>
      <c r="I83" s="302"/>
      <c r="J83" s="301"/>
      <c r="K83" s="301"/>
      <c r="L83" s="301"/>
      <c r="M83" s="304"/>
      <c r="N83" s="302"/>
      <c r="O83" s="302"/>
      <c r="P83" s="301"/>
      <c r="Q83" s="302"/>
      <c r="R83" s="347">
        <f t="shared" si="12"/>
        <v>0</v>
      </c>
      <c r="S83" s="348"/>
      <c r="T83" s="348"/>
      <c r="U83" s="348"/>
      <c r="V83" s="348"/>
      <c r="W83" s="348"/>
      <c r="X83" s="426">
        <f t="shared" si="7"/>
        <v>0</v>
      </c>
      <c r="Y83" s="431"/>
      <c r="Z83" s="431"/>
      <c r="AA83" s="431"/>
      <c r="AB83" s="431"/>
      <c r="AC83" s="432">
        <f t="shared" si="8"/>
        <v>0</v>
      </c>
      <c r="AD83" s="302"/>
      <c r="AE83" s="432">
        <f t="shared" si="9"/>
        <v>0</v>
      </c>
      <c r="AF83" s="347">
        <f t="shared" si="10"/>
        <v>0</v>
      </c>
      <c r="AG83" s="348"/>
      <c r="AH83" s="348"/>
      <c r="AI83" s="348"/>
      <c r="AJ83" s="348"/>
      <c r="AK83" s="348"/>
      <c r="AL83" s="426">
        <f t="shared" si="11"/>
        <v>0</v>
      </c>
      <c r="AM83" s="431"/>
      <c r="AN83" s="431"/>
      <c r="AO83" s="431"/>
      <c r="AP83" s="431"/>
      <c r="AQ83" s="349"/>
    </row>
  </sheetData>
  <mergeCells count="55">
    <mergeCell ref="K7:K10"/>
    <mergeCell ref="L7:L10"/>
    <mergeCell ref="F6:F10"/>
    <mergeCell ref="G7:G10"/>
    <mergeCell ref="H7:H10"/>
    <mergeCell ref="I6:I10"/>
    <mergeCell ref="J6:J10"/>
    <mergeCell ref="G6:H6"/>
    <mergeCell ref="K6:L6"/>
    <mergeCell ref="A4:A10"/>
    <mergeCell ref="B4:B10"/>
    <mergeCell ref="C4:C10"/>
    <mergeCell ref="D4:D10"/>
    <mergeCell ref="E4:E10"/>
    <mergeCell ref="V6:V10"/>
    <mergeCell ref="W6:W10"/>
    <mergeCell ref="AF8:AK8"/>
    <mergeCell ref="AL8:AP8"/>
    <mergeCell ref="AG9:AK9"/>
    <mergeCell ref="AM9:AP9"/>
    <mergeCell ref="AF9:AF10"/>
    <mergeCell ref="AL9:AL10"/>
    <mergeCell ref="AE7:AE10"/>
    <mergeCell ref="N6:O6"/>
    <mergeCell ref="AE6:AP6"/>
    <mergeCell ref="AF7:AP7"/>
    <mergeCell ref="M6:M10"/>
    <mergeCell ref="N7:N10"/>
    <mergeCell ref="O7:O10"/>
    <mergeCell ref="P4:P10"/>
    <mergeCell ref="Q4:Q10"/>
    <mergeCell ref="R5:R10"/>
    <mergeCell ref="S6:S10"/>
    <mergeCell ref="T6:T10"/>
    <mergeCell ref="U6:U10"/>
    <mergeCell ref="AA6:AA10"/>
    <mergeCell ref="AB6:AB10"/>
    <mergeCell ref="AC5:AC10"/>
    <mergeCell ref="AD6:AD10"/>
    <mergeCell ref="A1:AQ1"/>
    <mergeCell ref="A2:AQ2"/>
    <mergeCell ref="A3:AQ3"/>
    <mergeCell ref="F4:O4"/>
    <mergeCell ref="R4:W4"/>
    <mergeCell ref="X4:AB4"/>
    <mergeCell ref="AC4:AP4"/>
    <mergeCell ref="AQ4:AQ10"/>
    <mergeCell ref="F5:H5"/>
    <mergeCell ref="I5:O5"/>
    <mergeCell ref="S5:W5"/>
    <mergeCell ref="Y5:AB5"/>
    <mergeCell ref="AD5:AP5"/>
    <mergeCell ref="X5:X10"/>
    <mergeCell ref="Y6:Y10"/>
    <mergeCell ref="Z6:Z10"/>
  </mergeCells>
  <pageMargins left="0.26" right="0.22" top="0.4" bottom="0.35" header="0.22" footer="0.19"/>
  <pageSetup paperSize="8" scale="41" fitToHeight="0" orientation="landscape"/>
  <headerFooter differentFirst="1">
    <oddHeader>&amp;C&amp;P/&amp;N</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ColWidth="9"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9" defaultRowHeight="14.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ColWidth="9" defaultRowHeight="14.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ColWidth="9" defaultRowHeight="14.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F58"/>
  <sheetViews>
    <sheetView tabSelected="1" zoomScaleNormal="100" workbookViewId="0">
      <selection activeCell="A3" sqref="A3:F3"/>
    </sheetView>
  </sheetViews>
  <sheetFormatPr defaultColWidth="9" defaultRowHeight="15.5"/>
  <cols>
    <col min="1" max="1" width="6.26953125" style="445" customWidth="1"/>
    <col min="2" max="2" width="30" style="445" customWidth="1"/>
    <col min="3" max="3" width="14.54296875" style="445" customWidth="1"/>
    <col min="4" max="4" width="16.453125" style="445" customWidth="1"/>
    <col min="5" max="5" width="13.1796875" style="445" customWidth="1"/>
    <col min="6" max="6" width="13.7265625" style="445" customWidth="1"/>
    <col min="7" max="238" width="9" style="447"/>
    <col min="239" max="239" width="9.453125" style="447" customWidth="1"/>
    <col min="240" max="240" width="55.453125" style="447" customWidth="1"/>
    <col min="241" max="241" width="23.1796875" style="447" customWidth="1"/>
    <col min="242" max="242" width="17.26953125" style="447" customWidth="1"/>
    <col min="243" max="252" width="0" style="447" hidden="1" customWidth="1"/>
    <col min="253" max="494" width="9" style="447"/>
    <col min="495" max="495" width="9.453125" style="447" customWidth="1"/>
    <col min="496" max="496" width="55.453125" style="447" customWidth="1"/>
    <col min="497" max="497" width="23.1796875" style="447" customWidth="1"/>
    <col min="498" max="498" width="17.26953125" style="447" customWidth="1"/>
    <col min="499" max="508" width="0" style="447" hidden="1" customWidth="1"/>
    <col min="509" max="750" width="9" style="447"/>
    <col min="751" max="751" width="9.453125" style="447" customWidth="1"/>
    <col min="752" max="752" width="55.453125" style="447" customWidth="1"/>
    <col min="753" max="753" width="23.1796875" style="447" customWidth="1"/>
    <col min="754" max="754" width="17.26953125" style="447" customWidth="1"/>
    <col min="755" max="764" width="0" style="447" hidden="1" customWidth="1"/>
    <col min="765" max="1006" width="9" style="447"/>
    <col min="1007" max="1007" width="9.453125" style="447" customWidth="1"/>
    <col min="1008" max="1008" width="55.453125" style="447" customWidth="1"/>
    <col min="1009" max="1009" width="23.1796875" style="447" customWidth="1"/>
    <col min="1010" max="1010" width="17.26953125" style="447" customWidth="1"/>
    <col min="1011" max="1020" width="0" style="447" hidden="1" customWidth="1"/>
    <col min="1021" max="1262" width="9" style="447"/>
    <col min="1263" max="1263" width="9.453125" style="447" customWidth="1"/>
    <col min="1264" max="1264" width="55.453125" style="447" customWidth="1"/>
    <col min="1265" max="1265" width="23.1796875" style="447" customWidth="1"/>
    <col min="1266" max="1266" width="17.26953125" style="447" customWidth="1"/>
    <col min="1267" max="1276" width="0" style="447" hidden="1" customWidth="1"/>
    <col min="1277" max="1518" width="9" style="447"/>
    <col min="1519" max="1519" width="9.453125" style="447" customWidth="1"/>
    <col min="1520" max="1520" width="55.453125" style="447" customWidth="1"/>
    <col min="1521" max="1521" width="23.1796875" style="447" customWidth="1"/>
    <col min="1522" max="1522" width="17.26953125" style="447" customWidth="1"/>
    <col min="1523" max="1532" width="0" style="447" hidden="1" customWidth="1"/>
    <col min="1533" max="1774" width="9" style="447"/>
    <col min="1775" max="1775" width="9.453125" style="447" customWidth="1"/>
    <col min="1776" max="1776" width="55.453125" style="447" customWidth="1"/>
    <col min="1777" max="1777" width="23.1796875" style="447" customWidth="1"/>
    <col min="1778" max="1778" width="17.26953125" style="447" customWidth="1"/>
    <col min="1779" max="1788" width="0" style="447" hidden="1" customWidth="1"/>
    <col min="1789" max="2030" width="9" style="447"/>
    <col min="2031" max="2031" width="9.453125" style="447" customWidth="1"/>
    <col min="2032" max="2032" width="55.453125" style="447" customWidth="1"/>
    <col min="2033" max="2033" width="23.1796875" style="447" customWidth="1"/>
    <col min="2034" max="2034" width="17.26953125" style="447" customWidth="1"/>
    <col min="2035" max="2044" width="0" style="447" hidden="1" customWidth="1"/>
    <col min="2045" max="2286" width="9" style="447"/>
    <col min="2287" max="2287" width="9.453125" style="447" customWidth="1"/>
    <col min="2288" max="2288" width="55.453125" style="447" customWidth="1"/>
    <col min="2289" max="2289" width="23.1796875" style="447" customWidth="1"/>
    <col min="2290" max="2290" width="17.26953125" style="447" customWidth="1"/>
    <col min="2291" max="2300" width="0" style="447" hidden="1" customWidth="1"/>
    <col min="2301" max="2542" width="9" style="447"/>
    <col min="2543" max="2543" width="9.453125" style="447" customWidth="1"/>
    <col min="2544" max="2544" width="55.453125" style="447" customWidth="1"/>
    <col min="2545" max="2545" width="23.1796875" style="447" customWidth="1"/>
    <col min="2546" max="2546" width="17.26953125" style="447" customWidth="1"/>
    <col min="2547" max="2556" width="0" style="447" hidden="1" customWidth="1"/>
    <col min="2557" max="2798" width="9" style="447"/>
    <col min="2799" max="2799" width="9.453125" style="447" customWidth="1"/>
    <col min="2800" max="2800" width="55.453125" style="447" customWidth="1"/>
    <col min="2801" max="2801" width="23.1796875" style="447" customWidth="1"/>
    <col min="2802" max="2802" width="17.26953125" style="447" customWidth="1"/>
    <col min="2803" max="2812" width="0" style="447" hidden="1" customWidth="1"/>
    <col min="2813" max="3054" width="9" style="447"/>
    <col min="3055" max="3055" width="9.453125" style="447" customWidth="1"/>
    <col min="3056" max="3056" width="55.453125" style="447" customWidth="1"/>
    <col min="3057" max="3057" width="23.1796875" style="447" customWidth="1"/>
    <col min="3058" max="3058" width="17.26953125" style="447" customWidth="1"/>
    <col min="3059" max="3068" width="0" style="447" hidden="1" customWidth="1"/>
    <col min="3069" max="3310" width="9" style="447"/>
    <col min="3311" max="3311" width="9.453125" style="447" customWidth="1"/>
    <col min="3312" max="3312" width="55.453125" style="447" customWidth="1"/>
    <col min="3313" max="3313" width="23.1796875" style="447" customWidth="1"/>
    <col min="3314" max="3314" width="17.26953125" style="447" customWidth="1"/>
    <col min="3315" max="3324" width="0" style="447" hidden="1" customWidth="1"/>
    <col min="3325" max="3566" width="9" style="447"/>
    <col min="3567" max="3567" width="9.453125" style="447" customWidth="1"/>
    <col min="3568" max="3568" width="55.453125" style="447" customWidth="1"/>
    <col min="3569" max="3569" width="23.1796875" style="447" customWidth="1"/>
    <col min="3570" max="3570" width="17.26953125" style="447" customWidth="1"/>
    <col min="3571" max="3580" width="0" style="447" hidden="1" customWidth="1"/>
    <col min="3581" max="3822" width="9" style="447"/>
    <col min="3823" max="3823" width="9.453125" style="447" customWidth="1"/>
    <col min="3824" max="3824" width="55.453125" style="447" customWidth="1"/>
    <col min="3825" max="3825" width="23.1796875" style="447" customWidth="1"/>
    <col min="3826" max="3826" width="17.26953125" style="447" customWidth="1"/>
    <col min="3827" max="3836" width="0" style="447" hidden="1" customWidth="1"/>
    <col min="3837" max="4078" width="9" style="447"/>
    <col min="4079" max="4079" width="9.453125" style="447" customWidth="1"/>
    <col min="4080" max="4080" width="55.453125" style="447" customWidth="1"/>
    <col min="4081" max="4081" width="23.1796875" style="447" customWidth="1"/>
    <col min="4082" max="4082" width="17.26953125" style="447" customWidth="1"/>
    <col min="4083" max="4092" width="0" style="447" hidden="1" customWidth="1"/>
    <col min="4093" max="4334" width="9" style="447"/>
    <col min="4335" max="4335" width="9.453125" style="447" customWidth="1"/>
    <col min="4336" max="4336" width="55.453125" style="447" customWidth="1"/>
    <col min="4337" max="4337" width="23.1796875" style="447" customWidth="1"/>
    <col min="4338" max="4338" width="17.26953125" style="447" customWidth="1"/>
    <col min="4339" max="4348" width="0" style="447" hidden="1" customWidth="1"/>
    <col min="4349" max="4590" width="9" style="447"/>
    <col min="4591" max="4591" width="9.453125" style="447" customWidth="1"/>
    <col min="4592" max="4592" width="55.453125" style="447" customWidth="1"/>
    <col min="4593" max="4593" width="23.1796875" style="447" customWidth="1"/>
    <col min="4594" max="4594" width="17.26953125" style="447" customWidth="1"/>
    <col min="4595" max="4604" width="0" style="447" hidden="1" customWidth="1"/>
    <col min="4605" max="4846" width="9" style="447"/>
    <col min="4847" max="4847" width="9.453125" style="447" customWidth="1"/>
    <col min="4848" max="4848" width="55.453125" style="447" customWidth="1"/>
    <col min="4849" max="4849" width="23.1796875" style="447" customWidth="1"/>
    <col min="4850" max="4850" width="17.26953125" style="447" customWidth="1"/>
    <col min="4851" max="4860" width="0" style="447" hidden="1" customWidth="1"/>
    <col min="4861" max="5102" width="9" style="447"/>
    <col min="5103" max="5103" width="9.453125" style="447" customWidth="1"/>
    <col min="5104" max="5104" width="55.453125" style="447" customWidth="1"/>
    <col min="5105" max="5105" width="23.1796875" style="447" customWidth="1"/>
    <col min="5106" max="5106" width="17.26953125" style="447" customWidth="1"/>
    <col min="5107" max="5116" width="0" style="447" hidden="1" customWidth="1"/>
    <col min="5117" max="5358" width="9" style="447"/>
    <col min="5359" max="5359" width="9.453125" style="447" customWidth="1"/>
    <col min="5360" max="5360" width="55.453125" style="447" customWidth="1"/>
    <col min="5361" max="5361" width="23.1796875" style="447" customWidth="1"/>
    <col min="5362" max="5362" width="17.26953125" style="447" customWidth="1"/>
    <col min="5363" max="5372" width="0" style="447" hidden="1" customWidth="1"/>
    <col min="5373" max="5614" width="9" style="447"/>
    <col min="5615" max="5615" width="9.453125" style="447" customWidth="1"/>
    <col min="5616" max="5616" width="55.453125" style="447" customWidth="1"/>
    <col min="5617" max="5617" width="23.1796875" style="447" customWidth="1"/>
    <col min="5618" max="5618" width="17.26953125" style="447" customWidth="1"/>
    <col min="5619" max="5628" width="0" style="447" hidden="1" customWidth="1"/>
    <col min="5629" max="5870" width="9" style="447"/>
    <col min="5871" max="5871" width="9.453125" style="447" customWidth="1"/>
    <col min="5872" max="5872" width="55.453125" style="447" customWidth="1"/>
    <col min="5873" max="5873" width="23.1796875" style="447" customWidth="1"/>
    <col min="5874" max="5874" width="17.26953125" style="447" customWidth="1"/>
    <col min="5875" max="5884" width="0" style="447" hidden="1" customWidth="1"/>
    <col min="5885" max="6126" width="9" style="447"/>
    <col min="6127" max="6127" width="9.453125" style="447" customWidth="1"/>
    <col min="6128" max="6128" width="55.453125" style="447" customWidth="1"/>
    <col min="6129" max="6129" width="23.1796875" style="447" customWidth="1"/>
    <col min="6130" max="6130" width="17.26953125" style="447" customWidth="1"/>
    <col min="6131" max="6140" width="0" style="447" hidden="1" customWidth="1"/>
    <col min="6141" max="6382" width="9" style="447"/>
    <col min="6383" max="6383" width="9.453125" style="447" customWidth="1"/>
    <col min="6384" max="6384" width="55.453125" style="447" customWidth="1"/>
    <col min="6385" max="6385" width="23.1796875" style="447" customWidth="1"/>
    <col min="6386" max="6386" width="17.26953125" style="447" customWidth="1"/>
    <col min="6387" max="6396" width="0" style="447" hidden="1" customWidth="1"/>
    <col min="6397" max="6638" width="9" style="447"/>
    <col min="6639" max="6639" width="9.453125" style="447" customWidth="1"/>
    <col min="6640" max="6640" width="55.453125" style="447" customWidth="1"/>
    <col min="6641" max="6641" width="23.1796875" style="447" customWidth="1"/>
    <col min="6642" max="6642" width="17.26953125" style="447" customWidth="1"/>
    <col min="6643" max="6652" width="0" style="447" hidden="1" customWidth="1"/>
    <col min="6653" max="6894" width="9" style="447"/>
    <col min="6895" max="6895" width="9.453125" style="447" customWidth="1"/>
    <col min="6896" max="6896" width="55.453125" style="447" customWidth="1"/>
    <col min="6897" max="6897" width="23.1796875" style="447" customWidth="1"/>
    <col min="6898" max="6898" width="17.26953125" style="447" customWidth="1"/>
    <col min="6899" max="6908" width="0" style="447" hidden="1" customWidth="1"/>
    <col min="6909" max="7150" width="9" style="447"/>
    <col min="7151" max="7151" width="9.453125" style="447" customWidth="1"/>
    <col min="7152" max="7152" width="55.453125" style="447" customWidth="1"/>
    <col min="7153" max="7153" width="23.1796875" style="447" customWidth="1"/>
    <col min="7154" max="7154" width="17.26953125" style="447" customWidth="1"/>
    <col min="7155" max="7164" width="0" style="447" hidden="1" customWidth="1"/>
    <col min="7165" max="7406" width="9" style="447"/>
    <col min="7407" max="7407" width="9.453125" style="447" customWidth="1"/>
    <col min="7408" max="7408" width="55.453125" style="447" customWidth="1"/>
    <col min="7409" max="7409" width="23.1796875" style="447" customWidth="1"/>
    <col min="7410" max="7410" width="17.26953125" style="447" customWidth="1"/>
    <col min="7411" max="7420" width="0" style="447" hidden="1" customWidth="1"/>
    <col min="7421" max="7662" width="9" style="447"/>
    <col min="7663" max="7663" width="9.453125" style="447" customWidth="1"/>
    <col min="7664" max="7664" width="55.453125" style="447" customWidth="1"/>
    <col min="7665" max="7665" width="23.1796875" style="447" customWidth="1"/>
    <col min="7666" max="7666" width="17.26953125" style="447" customWidth="1"/>
    <col min="7667" max="7676" width="0" style="447" hidden="1" customWidth="1"/>
    <col min="7677" max="7918" width="9" style="447"/>
    <col min="7919" max="7919" width="9.453125" style="447" customWidth="1"/>
    <col min="7920" max="7920" width="55.453125" style="447" customWidth="1"/>
    <col min="7921" max="7921" width="23.1796875" style="447" customWidth="1"/>
    <col min="7922" max="7922" width="17.26953125" style="447" customWidth="1"/>
    <col min="7923" max="7932" width="0" style="447" hidden="1" customWidth="1"/>
    <col min="7933" max="8174" width="9" style="447"/>
    <col min="8175" max="8175" width="9.453125" style="447" customWidth="1"/>
    <col min="8176" max="8176" width="55.453125" style="447" customWidth="1"/>
    <col min="8177" max="8177" width="23.1796875" style="447" customWidth="1"/>
    <col min="8178" max="8178" width="17.26953125" style="447" customWidth="1"/>
    <col min="8179" max="8188" width="0" style="447" hidden="1" customWidth="1"/>
    <col min="8189" max="8430" width="9" style="447"/>
    <col min="8431" max="8431" width="9.453125" style="447" customWidth="1"/>
    <col min="8432" max="8432" width="55.453125" style="447" customWidth="1"/>
    <col min="8433" max="8433" width="23.1796875" style="447" customWidth="1"/>
    <col min="8434" max="8434" width="17.26953125" style="447" customWidth="1"/>
    <col min="8435" max="8444" width="0" style="447" hidden="1" customWidth="1"/>
    <col min="8445" max="8686" width="9" style="447"/>
    <col min="8687" max="8687" width="9.453125" style="447" customWidth="1"/>
    <col min="8688" max="8688" width="55.453125" style="447" customWidth="1"/>
    <col min="8689" max="8689" width="23.1796875" style="447" customWidth="1"/>
    <col min="8690" max="8690" width="17.26953125" style="447" customWidth="1"/>
    <col min="8691" max="8700" width="0" style="447" hidden="1" customWidth="1"/>
    <col min="8701" max="8942" width="9" style="447"/>
    <col min="8943" max="8943" width="9.453125" style="447" customWidth="1"/>
    <col min="8944" max="8944" width="55.453125" style="447" customWidth="1"/>
    <col min="8945" max="8945" width="23.1796875" style="447" customWidth="1"/>
    <col min="8946" max="8946" width="17.26953125" style="447" customWidth="1"/>
    <col min="8947" max="8956" width="0" style="447" hidden="1" customWidth="1"/>
    <col min="8957" max="9198" width="9" style="447"/>
    <col min="9199" max="9199" width="9.453125" style="447" customWidth="1"/>
    <col min="9200" max="9200" width="55.453125" style="447" customWidth="1"/>
    <col min="9201" max="9201" width="23.1796875" style="447" customWidth="1"/>
    <col min="9202" max="9202" width="17.26953125" style="447" customWidth="1"/>
    <col min="9203" max="9212" width="0" style="447" hidden="1" customWidth="1"/>
    <col min="9213" max="9454" width="9" style="447"/>
    <col min="9455" max="9455" width="9.453125" style="447" customWidth="1"/>
    <col min="9456" max="9456" width="55.453125" style="447" customWidth="1"/>
    <col min="9457" max="9457" width="23.1796875" style="447" customWidth="1"/>
    <col min="9458" max="9458" width="17.26953125" style="447" customWidth="1"/>
    <col min="9459" max="9468" width="0" style="447" hidden="1" customWidth="1"/>
    <col min="9469" max="9710" width="9" style="447"/>
    <col min="9711" max="9711" width="9.453125" style="447" customWidth="1"/>
    <col min="9712" max="9712" width="55.453125" style="447" customWidth="1"/>
    <col min="9713" max="9713" width="23.1796875" style="447" customWidth="1"/>
    <col min="9714" max="9714" width="17.26953125" style="447" customWidth="1"/>
    <col min="9715" max="9724" width="0" style="447" hidden="1" customWidth="1"/>
    <col min="9725" max="9966" width="9" style="447"/>
    <col min="9967" max="9967" width="9.453125" style="447" customWidth="1"/>
    <col min="9968" max="9968" width="55.453125" style="447" customWidth="1"/>
    <col min="9969" max="9969" width="23.1796875" style="447" customWidth="1"/>
    <col min="9970" max="9970" width="17.26953125" style="447" customWidth="1"/>
    <col min="9971" max="9980" width="0" style="447" hidden="1" customWidth="1"/>
    <col min="9981" max="10222" width="9" style="447"/>
    <col min="10223" max="10223" width="9.453125" style="447" customWidth="1"/>
    <col min="10224" max="10224" width="55.453125" style="447" customWidth="1"/>
    <col min="10225" max="10225" width="23.1796875" style="447" customWidth="1"/>
    <col min="10226" max="10226" width="17.26953125" style="447" customWidth="1"/>
    <col min="10227" max="10236" width="0" style="447" hidden="1" customWidth="1"/>
    <col min="10237" max="10478" width="9" style="447"/>
    <col min="10479" max="10479" width="9.453125" style="447" customWidth="1"/>
    <col min="10480" max="10480" width="55.453125" style="447" customWidth="1"/>
    <col min="10481" max="10481" width="23.1796875" style="447" customWidth="1"/>
    <col min="10482" max="10482" width="17.26953125" style="447" customWidth="1"/>
    <col min="10483" max="10492" width="0" style="447" hidden="1" customWidth="1"/>
    <col min="10493" max="10734" width="9" style="447"/>
    <col min="10735" max="10735" width="9.453125" style="447" customWidth="1"/>
    <col min="10736" max="10736" width="55.453125" style="447" customWidth="1"/>
    <col min="10737" max="10737" width="23.1796875" style="447" customWidth="1"/>
    <col min="10738" max="10738" width="17.26953125" style="447" customWidth="1"/>
    <col min="10739" max="10748" width="0" style="447" hidden="1" customWidth="1"/>
    <col min="10749" max="10990" width="9" style="447"/>
    <col min="10991" max="10991" width="9.453125" style="447" customWidth="1"/>
    <col min="10992" max="10992" width="55.453125" style="447" customWidth="1"/>
    <col min="10993" max="10993" width="23.1796875" style="447" customWidth="1"/>
    <col min="10994" max="10994" width="17.26953125" style="447" customWidth="1"/>
    <col min="10995" max="11004" width="0" style="447" hidden="1" customWidth="1"/>
    <col min="11005" max="11246" width="9" style="447"/>
    <col min="11247" max="11247" width="9.453125" style="447" customWidth="1"/>
    <col min="11248" max="11248" width="55.453125" style="447" customWidth="1"/>
    <col min="11249" max="11249" width="23.1796875" style="447" customWidth="1"/>
    <col min="11250" max="11250" width="17.26953125" style="447" customWidth="1"/>
    <col min="11251" max="11260" width="0" style="447" hidden="1" customWidth="1"/>
    <col min="11261" max="11502" width="9" style="447"/>
    <col min="11503" max="11503" width="9.453125" style="447" customWidth="1"/>
    <col min="11504" max="11504" width="55.453125" style="447" customWidth="1"/>
    <col min="11505" max="11505" width="23.1796875" style="447" customWidth="1"/>
    <col min="11506" max="11506" width="17.26953125" style="447" customWidth="1"/>
    <col min="11507" max="11516" width="0" style="447" hidden="1" customWidth="1"/>
    <col min="11517" max="11758" width="9" style="447"/>
    <col min="11759" max="11759" width="9.453125" style="447" customWidth="1"/>
    <col min="11760" max="11760" width="55.453125" style="447" customWidth="1"/>
    <col min="11761" max="11761" width="23.1796875" style="447" customWidth="1"/>
    <col min="11762" max="11762" width="17.26953125" style="447" customWidth="1"/>
    <col min="11763" max="11772" width="0" style="447" hidden="1" customWidth="1"/>
    <col min="11773" max="12014" width="9" style="447"/>
    <col min="12015" max="12015" width="9.453125" style="447" customWidth="1"/>
    <col min="12016" max="12016" width="55.453125" style="447" customWidth="1"/>
    <col min="12017" max="12017" width="23.1796875" style="447" customWidth="1"/>
    <col min="12018" max="12018" width="17.26953125" style="447" customWidth="1"/>
    <col min="12019" max="12028" width="0" style="447" hidden="1" customWidth="1"/>
    <col min="12029" max="12270" width="9" style="447"/>
    <col min="12271" max="12271" width="9.453125" style="447" customWidth="1"/>
    <col min="12272" max="12272" width="55.453125" style="447" customWidth="1"/>
    <col min="12273" max="12273" width="23.1796875" style="447" customWidth="1"/>
    <col min="12274" max="12274" width="17.26953125" style="447" customWidth="1"/>
    <col min="12275" max="12284" width="0" style="447" hidden="1" customWidth="1"/>
    <col min="12285" max="12526" width="9" style="447"/>
    <col min="12527" max="12527" width="9.453125" style="447" customWidth="1"/>
    <col min="12528" max="12528" width="55.453125" style="447" customWidth="1"/>
    <col min="12529" max="12529" width="23.1796875" style="447" customWidth="1"/>
    <col min="12530" max="12530" width="17.26953125" style="447" customWidth="1"/>
    <col min="12531" max="12540" width="0" style="447" hidden="1" customWidth="1"/>
    <col min="12541" max="12782" width="9" style="447"/>
    <col min="12783" max="12783" width="9.453125" style="447" customWidth="1"/>
    <col min="12784" max="12784" width="55.453125" style="447" customWidth="1"/>
    <col min="12785" max="12785" width="23.1796875" style="447" customWidth="1"/>
    <col min="12786" max="12786" width="17.26953125" style="447" customWidth="1"/>
    <col min="12787" max="12796" width="0" style="447" hidden="1" customWidth="1"/>
    <col min="12797" max="13038" width="9" style="447"/>
    <col min="13039" max="13039" width="9.453125" style="447" customWidth="1"/>
    <col min="13040" max="13040" width="55.453125" style="447" customWidth="1"/>
    <col min="13041" max="13041" width="23.1796875" style="447" customWidth="1"/>
    <col min="13042" max="13042" width="17.26953125" style="447" customWidth="1"/>
    <col min="13043" max="13052" width="0" style="447" hidden="1" customWidth="1"/>
    <col min="13053" max="13294" width="9" style="447"/>
    <col min="13295" max="13295" width="9.453125" style="447" customWidth="1"/>
    <col min="13296" max="13296" width="55.453125" style="447" customWidth="1"/>
    <col min="13297" max="13297" width="23.1796875" style="447" customWidth="1"/>
    <col min="13298" max="13298" width="17.26953125" style="447" customWidth="1"/>
    <col min="13299" max="13308" width="0" style="447" hidden="1" customWidth="1"/>
    <col min="13309" max="13550" width="9" style="447"/>
    <col min="13551" max="13551" width="9.453125" style="447" customWidth="1"/>
    <col min="13552" max="13552" width="55.453125" style="447" customWidth="1"/>
    <col min="13553" max="13553" width="23.1796875" style="447" customWidth="1"/>
    <col min="13554" max="13554" width="17.26953125" style="447" customWidth="1"/>
    <col min="13555" max="13564" width="0" style="447" hidden="1" customWidth="1"/>
    <col min="13565" max="13806" width="9" style="447"/>
    <col min="13807" max="13807" width="9.453125" style="447" customWidth="1"/>
    <col min="13808" max="13808" width="55.453125" style="447" customWidth="1"/>
    <col min="13809" max="13809" width="23.1796875" style="447" customWidth="1"/>
    <col min="13810" max="13810" width="17.26953125" style="447" customWidth="1"/>
    <col min="13811" max="13820" width="0" style="447" hidden="1" customWidth="1"/>
    <col min="13821" max="14062" width="9" style="447"/>
    <col min="14063" max="14063" width="9.453125" style="447" customWidth="1"/>
    <col min="14064" max="14064" width="55.453125" style="447" customWidth="1"/>
    <col min="14065" max="14065" width="23.1796875" style="447" customWidth="1"/>
    <col min="14066" max="14066" width="17.26953125" style="447" customWidth="1"/>
    <col min="14067" max="14076" width="0" style="447" hidden="1" customWidth="1"/>
    <col min="14077" max="14318" width="9" style="447"/>
    <col min="14319" max="14319" width="9.453125" style="447" customWidth="1"/>
    <col min="14320" max="14320" width="55.453125" style="447" customWidth="1"/>
    <col min="14321" max="14321" width="23.1796875" style="447" customWidth="1"/>
    <col min="14322" max="14322" width="17.26953125" style="447" customWidth="1"/>
    <col min="14323" max="14332" width="0" style="447" hidden="1" customWidth="1"/>
    <col min="14333" max="14574" width="9" style="447"/>
    <col min="14575" max="14575" width="9.453125" style="447" customWidth="1"/>
    <col min="14576" max="14576" width="55.453125" style="447" customWidth="1"/>
    <col min="14577" max="14577" width="23.1796875" style="447" customWidth="1"/>
    <col min="14578" max="14578" width="17.26953125" style="447" customWidth="1"/>
    <col min="14579" max="14588" width="0" style="447" hidden="1" customWidth="1"/>
    <col min="14589" max="14830" width="9" style="447"/>
    <col min="14831" max="14831" width="9.453125" style="447" customWidth="1"/>
    <col min="14832" max="14832" width="55.453125" style="447" customWidth="1"/>
    <col min="14833" max="14833" width="23.1796875" style="447" customWidth="1"/>
    <col min="14834" max="14834" width="17.26953125" style="447" customWidth="1"/>
    <col min="14835" max="14844" width="0" style="447" hidden="1" customWidth="1"/>
    <col min="14845" max="15086" width="9" style="447"/>
    <col min="15087" max="15087" width="9.453125" style="447" customWidth="1"/>
    <col min="15088" max="15088" width="55.453125" style="447" customWidth="1"/>
    <col min="15089" max="15089" width="23.1796875" style="447" customWidth="1"/>
    <col min="15090" max="15090" width="17.26953125" style="447" customWidth="1"/>
    <col min="15091" max="15100" width="0" style="447" hidden="1" customWidth="1"/>
    <col min="15101" max="15342" width="9" style="447"/>
    <col min="15343" max="15343" width="9.453125" style="447" customWidth="1"/>
    <col min="15344" max="15344" width="55.453125" style="447" customWidth="1"/>
    <col min="15345" max="15345" width="23.1796875" style="447" customWidth="1"/>
    <col min="15346" max="15346" width="17.26953125" style="447" customWidth="1"/>
    <col min="15347" max="15356" width="0" style="447" hidden="1" customWidth="1"/>
    <col min="15357" max="15598" width="9" style="447"/>
    <col min="15599" max="15599" width="9.453125" style="447" customWidth="1"/>
    <col min="15600" max="15600" width="55.453125" style="447" customWidth="1"/>
    <col min="15601" max="15601" width="23.1796875" style="447" customWidth="1"/>
    <col min="15602" max="15602" width="17.26953125" style="447" customWidth="1"/>
    <col min="15603" max="15612" width="0" style="447" hidden="1" customWidth="1"/>
    <col min="15613" max="15854" width="9" style="447"/>
    <col min="15855" max="15855" width="9.453125" style="447" customWidth="1"/>
    <col min="15856" max="15856" width="55.453125" style="447" customWidth="1"/>
    <col min="15857" max="15857" width="23.1796875" style="447" customWidth="1"/>
    <col min="15858" max="15858" width="17.26953125" style="447" customWidth="1"/>
    <col min="15859" max="15868" width="0" style="447" hidden="1" customWidth="1"/>
    <col min="15869" max="16110" width="9" style="447"/>
    <col min="16111" max="16111" width="9.453125" style="447" customWidth="1"/>
    <col min="16112" max="16112" width="55.453125" style="447" customWidth="1"/>
    <col min="16113" max="16113" width="23.1796875" style="447" customWidth="1"/>
    <col min="16114" max="16114" width="17.26953125" style="447" customWidth="1"/>
    <col min="16115" max="16124" width="0" style="447" hidden="1" customWidth="1"/>
    <col min="16125" max="16384" width="9" style="447"/>
  </cols>
  <sheetData>
    <row r="1" spans="1:6" ht="20.25" customHeight="1">
      <c r="F1" s="446" t="s">
        <v>756</v>
      </c>
    </row>
    <row r="2" spans="1:6" ht="23.65" customHeight="1">
      <c r="A2" s="483" t="s">
        <v>811</v>
      </c>
      <c r="B2" s="483"/>
      <c r="C2" s="483"/>
      <c r="D2" s="483"/>
      <c r="E2" s="483"/>
      <c r="F2" s="483"/>
    </row>
    <row r="3" spans="1:6" ht="18.75" customHeight="1">
      <c r="A3" s="484" t="str">
        <f>'bs 2026 UBND'!A3:J3</f>
        <v>(Kèm theo Nghị quyết số       /TTr-HĐND ngày      tháng     năm 2026 của HĐND xã)</v>
      </c>
      <c r="B3" s="485"/>
      <c r="C3" s="485"/>
      <c r="D3" s="485"/>
      <c r="E3" s="485"/>
      <c r="F3" s="485"/>
    </row>
    <row r="4" spans="1:6" ht="18.75" customHeight="1">
      <c r="A4" s="448"/>
      <c r="B4" s="448"/>
      <c r="C4" s="448"/>
      <c r="D4" s="448"/>
      <c r="E4" s="448"/>
      <c r="F4" s="448"/>
    </row>
    <row r="5" spans="1:6" ht="20.25" customHeight="1">
      <c r="A5" s="449"/>
      <c r="B5" s="449"/>
      <c r="C5" s="450"/>
      <c r="D5" s="450"/>
      <c r="E5" s="486" t="s">
        <v>755</v>
      </c>
      <c r="F5" s="486"/>
    </row>
    <row r="6" spans="1:6" ht="36" customHeight="1">
      <c r="A6" s="487" t="s">
        <v>3</v>
      </c>
      <c r="B6" s="487" t="s">
        <v>798</v>
      </c>
      <c r="C6" s="487" t="s">
        <v>803</v>
      </c>
      <c r="D6" s="487" t="s">
        <v>802</v>
      </c>
      <c r="E6" s="487" t="s">
        <v>797</v>
      </c>
      <c r="F6" s="487" t="s">
        <v>14</v>
      </c>
    </row>
    <row r="7" spans="1:6" ht="18" customHeight="1">
      <c r="A7" s="488"/>
      <c r="B7" s="488"/>
      <c r="C7" s="488"/>
      <c r="D7" s="488"/>
      <c r="E7" s="488"/>
      <c r="F7" s="488"/>
    </row>
    <row r="8" spans="1:6" ht="20.149999999999999" customHeight="1">
      <c r="A8" s="451">
        <v>1</v>
      </c>
      <c r="B8" s="451">
        <v>2</v>
      </c>
      <c r="C8" s="451">
        <v>3</v>
      </c>
      <c r="D8" s="451">
        <v>4</v>
      </c>
      <c r="E8" s="451" t="s">
        <v>799</v>
      </c>
      <c r="F8" s="451">
        <v>6</v>
      </c>
    </row>
    <row r="9" spans="1:6" ht="25.15" customHeight="1">
      <c r="A9" s="452"/>
      <c r="B9" s="452" t="s">
        <v>800</v>
      </c>
      <c r="C9" s="453">
        <f>SUM(C10:C12)</f>
        <v>70295</v>
      </c>
      <c r="D9" s="453">
        <f t="shared" ref="D9:E9" si="0">SUM(D10:D12)</f>
        <v>75095</v>
      </c>
      <c r="E9" s="453">
        <f t="shared" si="0"/>
        <v>4800</v>
      </c>
      <c r="F9" s="454"/>
    </row>
    <row r="10" spans="1:6" ht="39.75" customHeight="1">
      <c r="A10" s="455">
        <v>1</v>
      </c>
      <c r="B10" s="456" t="s">
        <v>757</v>
      </c>
      <c r="C10" s="457">
        <v>34801</v>
      </c>
      <c r="D10" s="457">
        <v>34801</v>
      </c>
      <c r="E10" s="458">
        <f>D10-C10</f>
        <v>0</v>
      </c>
      <c r="F10" s="461"/>
    </row>
    <row r="11" spans="1:6" ht="39.75" customHeight="1">
      <c r="A11" s="455">
        <v>2</v>
      </c>
      <c r="B11" s="456" t="s">
        <v>114</v>
      </c>
      <c r="C11" s="457">
        <v>23494</v>
      </c>
      <c r="D11" s="457">
        <v>23494</v>
      </c>
      <c r="E11" s="458">
        <f t="shared" ref="E11:E12" si="1">D11-C11</f>
        <v>0</v>
      </c>
      <c r="F11" s="461"/>
    </row>
    <row r="12" spans="1:6" ht="36.75" customHeight="1">
      <c r="A12" s="455">
        <v>3</v>
      </c>
      <c r="B12" s="456" t="s">
        <v>801</v>
      </c>
      <c r="C12" s="459">
        <v>12000</v>
      </c>
      <c r="D12" s="459">
        <v>16800</v>
      </c>
      <c r="E12" s="457">
        <f t="shared" si="1"/>
        <v>4800</v>
      </c>
      <c r="F12" s="462" t="s">
        <v>804</v>
      </c>
    </row>
    <row r="13" spans="1:6">
      <c r="A13" s="460"/>
      <c r="B13" s="460"/>
      <c r="F13" s="460"/>
    </row>
    <row r="14" spans="1:6">
      <c r="A14" s="460"/>
      <c r="B14" s="460"/>
      <c r="C14" s="460"/>
      <c r="D14" s="460"/>
      <c r="E14" s="460"/>
      <c r="F14" s="460"/>
    </row>
    <row r="15" spans="1:6">
      <c r="A15" s="460"/>
      <c r="B15" s="460"/>
      <c r="C15" s="460"/>
      <c r="D15" s="460"/>
      <c r="E15" s="460"/>
      <c r="F15" s="460"/>
    </row>
    <row r="16" spans="1:6">
      <c r="A16" s="460"/>
      <c r="B16" s="460"/>
      <c r="C16" s="460"/>
      <c r="D16" s="460"/>
      <c r="E16" s="460"/>
      <c r="F16" s="460"/>
    </row>
    <row r="17" spans="1:6">
      <c r="A17" s="460"/>
      <c r="B17" s="460"/>
      <c r="C17" s="460"/>
      <c r="D17" s="460"/>
      <c r="E17" s="460"/>
      <c r="F17" s="460"/>
    </row>
    <row r="18" spans="1:6">
      <c r="A18" s="460"/>
      <c r="B18" s="460"/>
      <c r="C18" s="460"/>
      <c r="D18" s="460"/>
      <c r="E18" s="460"/>
      <c r="F18" s="460"/>
    </row>
    <row r="19" spans="1:6">
      <c r="A19" s="460"/>
      <c r="B19" s="460"/>
      <c r="C19" s="460"/>
      <c r="D19" s="460"/>
      <c r="E19" s="460"/>
      <c r="F19" s="460"/>
    </row>
    <row r="20" spans="1:6">
      <c r="A20" s="460"/>
      <c r="B20" s="460"/>
      <c r="C20" s="460"/>
      <c r="D20" s="460"/>
      <c r="E20" s="460"/>
      <c r="F20" s="460"/>
    </row>
    <row r="21" spans="1:6">
      <c r="A21" s="460"/>
      <c r="B21" s="460"/>
      <c r="C21" s="460"/>
      <c r="D21" s="460"/>
      <c r="E21" s="460"/>
      <c r="F21" s="460"/>
    </row>
    <row r="22" spans="1:6">
      <c r="A22" s="460"/>
      <c r="B22" s="460"/>
      <c r="C22" s="460"/>
      <c r="D22" s="460"/>
      <c r="E22" s="460"/>
      <c r="F22" s="460"/>
    </row>
    <row r="23" spans="1:6">
      <c r="A23" s="460"/>
      <c r="B23" s="460"/>
      <c r="C23" s="460"/>
      <c r="D23" s="460"/>
      <c r="E23" s="460"/>
      <c r="F23" s="460"/>
    </row>
    <row r="24" spans="1:6">
      <c r="A24" s="460"/>
      <c r="B24" s="460"/>
      <c r="C24" s="460"/>
      <c r="D24" s="460"/>
      <c r="E24" s="460"/>
      <c r="F24" s="460"/>
    </row>
    <row r="25" spans="1:6">
      <c r="A25" s="460"/>
      <c r="B25" s="460"/>
      <c r="C25" s="460"/>
      <c r="D25" s="460"/>
      <c r="E25" s="460"/>
      <c r="F25" s="460"/>
    </row>
    <row r="26" spans="1:6">
      <c r="A26" s="460"/>
      <c r="B26" s="460"/>
      <c r="C26" s="460"/>
      <c r="D26" s="460"/>
      <c r="E26" s="460"/>
      <c r="F26" s="460"/>
    </row>
    <row r="27" spans="1:6">
      <c r="A27" s="460"/>
      <c r="B27" s="460"/>
      <c r="C27" s="460"/>
      <c r="D27" s="460"/>
      <c r="E27" s="460"/>
      <c r="F27" s="460"/>
    </row>
    <row r="28" spans="1:6">
      <c r="A28" s="460"/>
      <c r="B28" s="460"/>
      <c r="C28" s="460"/>
      <c r="D28" s="460"/>
      <c r="E28" s="460"/>
      <c r="F28" s="460"/>
    </row>
    <row r="29" spans="1:6">
      <c r="A29" s="460"/>
      <c r="B29" s="460"/>
      <c r="C29" s="460"/>
      <c r="D29" s="460"/>
      <c r="E29" s="460"/>
      <c r="F29" s="460"/>
    </row>
    <row r="30" spans="1:6">
      <c r="A30" s="460"/>
      <c r="B30" s="460"/>
      <c r="C30" s="460"/>
      <c r="D30" s="460"/>
      <c r="E30" s="460"/>
      <c r="F30" s="460"/>
    </row>
    <row r="31" spans="1:6">
      <c r="A31" s="460"/>
      <c r="B31" s="460"/>
      <c r="C31" s="460"/>
      <c r="D31" s="460"/>
      <c r="E31" s="460"/>
      <c r="F31" s="460"/>
    </row>
    <row r="32" spans="1:6">
      <c r="A32" s="460"/>
      <c r="B32" s="460"/>
      <c r="C32" s="460"/>
      <c r="D32" s="460"/>
      <c r="E32" s="460"/>
      <c r="F32" s="460"/>
    </row>
    <row r="33" spans="1:6">
      <c r="A33" s="460"/>
      <c r="B33" s="460"/>
      <c r="C33" s="460"/>
      <c r="D33" s="460"/>
      <c r="E33" s="460"/>
      <c r="F33" s="460"/>
    </row>
    <row r="34" spans="1:6">
      <c r="A34" s="460"/>
      <c r="B34" s="460"/>
      <c r="C34" s="460"/>
      <c r="D34" s="460"/>
      <c r="E34" s="460"/>
      <c r="F34" s="460"/>
    </row>
    <row r="35" spans="1:6">
      <c r="A35" s="460"/>
      <c r="B35" s="460"/>
      <c r="C35" s="460"/>
      <c r="D35" s="460"/>
      <c r="E35" s="460"/>
      <c r="F35" s="460"/>
    </row>
    <row r="36" spans="1:6">
      <c r="A36" s="460"/>
      <c r="B36" s="460"/>
      <c r="C36" s="460"/>
      <c r="D36" s="460"/>
      <c r="E36" s="460"/>
      <c r="F36" s="460"/>
    </row>
    <row r="37" spans="1:6">
      <c r="A37" s="460"/>
      <c r="B37" s="460"/>
      <c r="C37" s="460"/>
      <c r="D37" s="460"/>
      <c r="E37" s="460"/>
      <c r="F37" s="460"/>
    </row>
    <row r="38" spans="1:6">
      <c r="A38" s="460"/>
      <c r="B38" s="460"/>
      <c r="C38" s="460"/>
      <c r="D38" s="460"/>
      <c r="E38" s="460"/>
      <c r="F38" s="460"/>
    </row>
    <row r="39" spans="1:6">
      <c r="A39" s="460"/>
      <c r="B39" s="460"/>
      <c r="C39" s="460"/>
      <c r="D39" s="460"/>
      <c r="E39" s="460"/>
      <c r="F39" s="460"/>
    </row>
    <row r="40" spans="1:6">
      <c r="A40" s="460"/>
      <c r="B40" s="460"/>
      <c r="C40" s="460"/>
      <c r="D40" s="460"/>
      <c r="E40" s="460"/>
      <c r="F40" s="460"/>
    </row>
    <row r="41" spans="1:6">
      <c r="A41" s="460"/>
      <c r="B41" s="460"/>
      <c r="C41" s="460"/>
      <c r="D41" s="460"/>
      <c r="E41" s="460"/>
      <c r="F41" s="460"/>
    </row>
    <row r="42" spans="1:6">
      <c r="A42" s="460"/>
      <c r="B42" s="460"/>
      <c r="C42" s="460"/>
      <c r="D42" s="460"/>
      <c r="E42" s="460"/>
      <c r="F42" s="460"/>
    </row>
    <row r="43" spans="1:6">
      <c r="A43" s="460"/>
      <c r="B43" s="460"/>
      <c r="C43" s="460"/>
      <c r="D43" s="460"/>
      <c r="E43" s="460"/>
      <c r="F43" s="460"/>
    </row>
    <row r="44" spans="1:6">
      <c r="A44" s="460"/>
      <c r="B44" s="460"/>
      <c r="C44" s="460"/>
      <c r="D44" s="460"/>
      <c r="E44" s="460"/>
      <c r="F44" s="460"/>
    </row>
    <row r="45" spans="1:6">
      <c r="A45" s="460"/>
      <c r="B45" s="460"/>
      <c r="C45" s="460"/>
      <c r="D45" s="460"/>
      <c r="E45" s="460"/>
      <c r="F45" s="460"/>
    </row>
    <row r="46" spans="1:6">
      <c r="A46" s="460"/>
      <c r="B46" s="460"/>
      <c r="C46" s="460"/>
      <c r="D46" s="460"/>
      <c r="E46" s="460"/>
      <c r="F46" s="460"/>
    </row>
    <row r="47" spans="1:6">
      <c r="A47" s="460"/>
      <c r="B47" s="460"/>
      <c r="C47" s="460"/>
      <c r="D47" s="460"/>
      <c r="E47" s="460"/>
      <c r="F47" s="460"/>
    </row>
    <row r="48" spans="1:6">
      <c r="A48" s="460"/>
      <c r="B48" s="460"/>
      <c r="C48" s="460"/>
      <c r="D48" s="460"/>
      <c r="E48" s="460"/>
      <c r="F48" s="460"/>
    </row>
    <row r="49" spans="1:6">
      <c r="A49" s="460"/>
      <c r="B49" s="460"/>
      <c r="C49" s="460"/>
      <c r="D49" s="460"/>
      <c r="E49" s="460"/>
      <c r="F49" s="460"/>
    </row>
    <row r="50" spans="1:6">
      <c r="A50" s="460"/>
      <c r="B50" s="460"/>
      <c r="C50" s="460"/>
      <c r="D50" s="460"/>
      <c r="E50" s="460"/>
      <c r="F50" s="460"/>
    </row>
    <row r="51" spans="1:6">
      <c r="A51" s="460"/>
      <c r="B51" s="460"/>
      <c r="C51" s="460"/>
      <c r="D51" s="460"/>
      <c r="E51" s="460"/>
      <c r="F51" s="460"/>
    </row>
    <row r="52" spans="1:6">
      <c r="A52" s="460"/>
      <c r="B52" s="460"/>
      <c r="C52" s="460"/>
      <c r="D52" s="460"/>
      <c r="E52" s="460"/>
      <c r="F52" s="460"/>
    </row>
    <row r="53" spans="1:6">
      <c r="A53" s="460"/>
      <c r="B53" s="460"/>
      <c r="C53" s="460"/>
      <c r="D53" s="460"/>
      <c r="E53" s="460"/>
      <c r="F53" s="460"/>
    </row>
    <row r="54" spans="1:6">
      <c r="A54" s="460"/>
      <c r="B54" s="460"/>
      <c r="C54" s="460"/>
      <c r="D54" s="460"/>
      <c r="E54" s="460"/>
      <c r="F54" s="460"/>
    </row>
    <row r="55" spans="1:6">
      <c r="A55" s="460"/>
      <c r="B55" s="460"/>
      <c r="C55" s="460"/>
      <c r="D55" s="460"/>
      <c r="E55" s="460"/>
      <c r="F55" s="460"/>
    </row>
    <row r="56" spans="1:6">
      <c r="A56" s="460"/>
      <c r="B56" s="460"/>
      <c r="C56" s="460"/>
      <c r="D56" s="460"/>
      <c r="E56" s="460"/>
      <c r="F56" s="460"/>
    </row>
    <row r="57" spans="1:6">
      <c r="A57" s="460"/>
      <c r="B57" s="460"/>
      <c r="C57" s="460"/>
      <c r="D57" s="460"/>
      <c r="E57" s="460"/>
      <c r="F57" s="460"/>
    </row>
    <row r="58" spans="1:6">
      <c r="A58" s="460"/>
      <c r="B58" s="460"/>
      <c r="C58" s="460"/>
      <c r="D58" s="460"/>
      <c r="E58" s="460"/>
      <c r="F58" s="460"/>
    </row>
  </sheetData>
  <mergeCells count="9">
    <mergeCell ref="A2:F2"/>
    <mergeCell ref="A3:F3"/>
    <mergeCell ref="E5:F5"/>
    <mergeCell ref="A6:A7"/>
    <mergeCell ref="B6:B7"/>
    <mergeCell ref="C6:C7"/>
    <mergeCell ref="D6:D7"/>
    <mergeCell ref="E6:E7"/>
    <mergeCell ref="F6:F7"/>
  </mergeCells>
  <pageMargins left="0.42" right="0.31" top="0.66"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44"/>
  <sheetViews>
    <sheetView topLeftCell="A6" zoomScale="85" zoomScaleNormal="85" workbookViewId="0">
      <pane ySplit="2510" topLeftCell="A4" activePane="bottomLeft"/>
      <selection pane="bottomLeft" activeCell="B35" sqref="B35"/>
    </sheetView>
  </sheetViews>
  <sheetFormatPr defaultColWidth="9.1796875" defaultRowHeight="15.5"/>
  <cols>
    <col min="1" max="1" width="4.26953125" style="3" customWidth="1"/>
    <col min="2" max="2" width="45.7265625" style="4" customWidth="1"/>
    <col min="3" max="3" width="40.81640625" style="5" customWidth="1"/>
    <col min="4" max="4" width="10.7265625" style="32" customWidth="1"/>
    <col min="5" max="5" width="10.7265625" style="33" customWidth="1"/>
    <col min="6" max="6" width="11.7265625" style="33" customWidth="1"/>
    <col min="7" max="7" width="11.453125" style="33" customWidth="1"/>
    <col min="8" max="8" width="11.7265625" style="33" customWidth="1"/>
    <col min="9" max="9" width="12.54296875" style="33" customWidth="1"/>
    <col min="10" max="10" width="12.54296875" style="33" hidden="1" customWidth="1"/>
    <col min="11" max="11" width="12.26953125" style="6" customWidth="1"/>
    <col min="12" max="12" width="10.54296875" style="7" customWidth="1"/>
    <col min="13" max="13" width="8.81640625" style="7" customWidth="1"/>
    <col min="14" max="14" width="9.1796875" style="7"/>
    <col min="15" max="16" width="10.1796875" style="7" customWidth="1"/>
    <col min="17" max="18" width="9.1796875" style="7"/>
    <col min="19" max="19" width="10.26953125" style="7" customWidth="1"/>
    <col min="20" max="21" width="9.1796875" style="7"/>
    <col min="22" max="22" width="34.81640625" style="7" customWidth="1"/>
    <col min="23" max="16384" width="9.1796875" style="8"/>
  </cols>
  <sheetData>
    <row r="1" spans="1:22" ht="18.5">
      <c r="A1" s="612" t="s">
        <v>227</v>
      </c>
      <c r="B1" s="613"/>
      <c r="C1" s="613"/>
      <c r="D1" s="613"/>
      <c r="E1" s="613"/>
      <c r="F1" s="613"/>
      <c r="G1" s="613"/>
      <c r="H1" s="613"/>
      <c r="I1" s="613"/>
      <c r="J1" s="613"/>
      <c r="K1" s="614"/>
      <c r="L1" s="4"/>
      <c r="M1" s="4"/>
      <c r="N1" s="4"/>
      <c r="O1" s="4"/>
      <c r="P1" s="4"/>
      <c r="Q1" s="4"/>
      <c r="R1" s="4"/>
      <c r="S1" s="4"/>
      <c r="T1" s="4"/>
      <c r="U1" s="4"/>
      <c r="V1" s="4"/>
    </row>
    <row r="2" spans="1:22" s="1" customFormat="1" ht="18.5">
      <c r="A2" s="612" t="s">
        <v>759</v>
      </c>
      <c r="B2" s="613"/>
      <c r="C2" s="613"/>
      <c r="D2" s="613"/>
      <c r="E2" s="613"/>
      <c r="F2" s="613"/>
      <c r="G2" s="613"/>
      <c r="H2" s="613"/>
      <c r="I2" s="613"/>
      <c r="J2" s="613"/>
      <c r="K2" s="614"/>
      <c r="L2" s="4"/>
      <c r="M2" s="4"/>
      <c r="N2" s="4"/>
      <c r="O2" s="4"/>
      <c r="P2" s="4"/>
      <c r="Q2" s="4"/>
      <c r="R2" s="4"/>
      <c r="S2" s="4"/>
      <c r="T2" s="4"/>
      <c r="U2" s="4"/>
      <c r="V2" s="4"/>
    </row>
    <row r="3" spans="1:22" s="1" customFormat="1" ht="18.649999999999999" customHeight="1">
      <c r="A3" s="615" t="str">
        <f>'bieu 1 nguon von'!A3:G3</f>
        <v>(Kèm theo Nghị quyết số       /TTr-HĐND ngày      tháng     năm 2026 của HĐND xã)</v>
      </c>
      <c r="B3" s="616"/>
      <c r="C3" s="616"/>
      <c r="D3" s="616"/>
      <c r="E3" s="616"/>
      <c r="F3" s="616"/>
      <c r="G3" s="616"/>
      <c r="H3" s="616"/>
      <c r="I3" s="616"/>
      <c r="J3" s="616"/>
      <c r="K3" s="616"/>
      <c r="L3" s="4"/>
      <c r="M3" s="4"/>
      <c r="N3" s="4"/>
      <c r="O3" s="4"/>
      <c r="P3" s="4"/>
      <c r="Q3" s="4"/>
      <c r="R3" s="4"/>
      <c r="S3" s="4"/>
      <c r="T3" s="4"/>
      <c r="U3" s="4"/>
      <c r="V3" s="4"/>
    </row>
    <row r="4" spans="1:22" s="1" customFormat="1">
      <c r="A4" s="515" t="s">
        <v>2</v>
      </c>
      <c r="B4" s="516"/>
      <c r="C4" s="583"/>
      <c r="D4" s="583"/>
      <c r="E4" s="583"/>
      <c r="F4" s="583"/>
      <c r="G4" s="583"/>
      <c r="H4" s="583"/>
      <c r="I4" s="583"/>
      <c r="J4" s="583"/>
      <c r="K4" s="514"/>
      <c r="L4" s="4"/>
      <c r="M4" s="4"/>
      <c r="N4" s="4"/>
      <c r="O4" s="4"/>
      <c r="P4" s="4"/>
      <c r="Q4" s="4"/>
      <c r="R4" s="4"/>
      <c r="S4" s="4"/>
      <c r="T4" s="4"/>
      <c r="U4" s="4"/>
      <c r="V4" s="4"/>
    </row>
    <row r="5" spans="1:22" s="2" customFormat="1" ht="22" customHeight="1">
      <c r="A5" s="493" t="s">
        <v>652</v>
      </c>
      <c r="B5" s="518" t="s">
        <v>7</v>
      </c>
      <c r="C5" s="520" t="s">
        <v>25</v>
      </c>
      <c r="D5" s="620" t="s">
        <v>628</v>
      </c>
      <c r="E5" s="621" t="s">
        <v>760</v>
      </c>
      <c r="F5" s="621" t="s">
        <v>761</v>
      </c>
      <c r="G5" s="617" t="s">
        <v>19</v>
      </c>
      <c r="H5" s="618"/>
      <c r="I5" s="618"/>
      <c r="J5" s="619"/>
      <c r="K5" s="584" t="s">
        <v>14</v>
      </c>
      <c r="L5" s="4"/>
      <c r="M5" s="4"/>
      <c r="N5" s="4"/>
      <c r="O5" s="4"/>
      <c r="P5" s="4"/>
      <c r="Q5" s="4"/>
      <c r="R5" s="4"/>
      <c r="S5" s="4"/>
      <c r="T5" s="4"/>
      <c r="U5" s="4"/>
      <c r="V5" s="4"/>
    </row>
    <row r="6" spans="1:22" s="2" customFormat="1" ht="23.15" customHeight="1">
      <c r="A6" s="493"/>
      <c r="B6" s="518"/>
      <c r="C6" s="564"/>
      <c r="D6" s="620"/>
      <c r="E6" s="622"/>
      <c r="F6" s="622"/>
      <c r="G6" s="621" t="s">
        <v>757</v>
      </c>
      <c r="H6" s="621" t="s">
        <v>758</v>
      </c>
      <c r="I6" s="621" t="s">
        <v>114</v>
      </c>
      <c r="J6" s="621" t="s">
        <v>762</v>
      </c>
      <c r="K6" s="584"/>
      <c r="L6" s="4"/>
      <c r="M6" s="4"/>
      <c r="N6" s="4"/>
      <c r="O6" s="4"/>
      <c r="P6" s="4"/>
      <c r="Q6" s="4"/>
      <c r="R6" s="4"/>
      <c r="S6" s="4"/>
      <c r="T6" s="4"/>
      <c r="U6" s="4"/>
      <c r="V6" s="4"/>
    </row>
    <row r="7" spans="1:22" s="2" customFormat="1" ht="25" customHeight="1">
      <c r="A7" s="493"/>
      <c r="B7" s="518"/>
      <c r="C7" s="565"/>
      <c r="D7" s="620"/>
      <c r="E7" s="623"/>
      <c r="F7" s="623"/>
      <c r="G7" s="623"/>
      <c r="H7" s="623"/>
      <c r="I7" s="623"/>
      <c r="J7" s="623"/>
      <c r="K7" s="584"/>
      <c r="L7" s="4"/>
      <c r="M7" s="24"/>
      <c r="N7" s="4"/>
      <c r="O7" s="4"/>
      <c r="P7" s="4"/>
      <c r="Q7" s="4"/>
      <c r="R7" s="4"/>
      <c r="S7" s="4"/>
      <c r="T7" s="4"/>
      <c r="U7" s="4"/>
      <c r="V7" s="4"/>
    </row>
    <row r="8" spans="1:22" s="1" customFormat="1">
      <c r="A8" s="11">
        <v>1</v>
      </c>
      <c r="B8" s="12">
        <v>2</v>
      </c>
      <c r="C8" s="11">
        <v>3</v>
      </c>
      <c r="D8" s="12">
        <v>4</v>
      </c>
      <c r="E8" s="11">
        <v>5</v>
      </c>
      <c r="F8" s="12" t="s">
        <v>763</v>
      </c>
      <c r="G8" s="12">
        <v>7</v>
      </c>
      <c r="H8" s="12">
        <v>8</v>
      </c>
      <c r="I8" s="12">
        <v>9</v>
      </c>
      <c r="J8" s="12">
        <v>10</v>
      </c>
      <c r="K8" s="70">
        <v>11</v>
      </c>
      <c r="L8" s="4"/>
      <c r="M8" s="4"/>
      <c r="N8" s="4"/>
      <c r="O8" s="4"/>
      <c r="P8" s="4"/>
      <c r="Q8" s="4"/>
      <c r="R8" s="4" t="s">
        <v>659</v>
      </c>
      <c r="S8" s="4" t="s">
        <v>660</v>
      </c>
      <c r="T8" s="4"/>
      <c r="U8" s="4"/>
      <c r="V8" s="4"/>
    </row>
    <row r="9" spans="1:22" s="1" customFormat="1">
      <c r="A9" s="11"/>
      <c r="B9" s="12"/>
      <c r="C9" s="11"/>
      <c r="D9" s="12"/>
      <c r="E9" s="11"/>
      <c r="F9" s="34">
        <f>F10-F11</f>
        <v>0</v>
      </c>
      <c r="G9" s="34">
        <f>G10-G11</f>
        <v>0</v>
      </c>
      <c r="H9" s="34">
        <f t="shared" ref="H9:I9" si="0">H10-H11</f>
        <v>0</v>
      </c>
      <c r="I9" s="34">
        <f t="shared" si="0"/>
        <v>0</v>
      </c>
      <c r="J9" s="12"/>
      <c r="K9" s="12"/>
      <c r="L9" s="71">
        <f>F9/F10*100</f>
        <v>0</v>
      </c>
      <c r="M9" s="4"/>
      <c r="N9" s="4"/>
      <c r="O9" s="4"/>
      <c r="P9" s="4"/>
      <c r="Q9" s="4"/>
      <c r="R9" s="4"/>
      <c r="S9" s="4"/>
      <c r="T9" s="4"/>
      <c r="U9" s="4"/>
      <c r="V9" s="4"/>
    </row>
    <row r="10" spans="1:22" s="1" customFormat="1">
      <c r="A10" s="11"/>
      <c r="B10" s="12"/>
      <c r="C10" s="11"/>
      <c r="D10" s="12"/>
      <c r="E10" s="11"/>
      <c r="F10" s="35">
        <f>SUM(G10:J10)</f>
        <v>429158</v>
      </c>
      <c r="G10" s="21">
        <v>212463</v>
      </c>
      <c r="H10" s="21">
        <v>73261</v>
      </c>
      <c r="I10" s="21">
        <v>143434</v>
      </c>
      <c r="J10" s="12"/>
      <c r="K10" s="12"/>
      <c r="L10" s="4"/>
      <c r="M10" s="4"/>
      <c r="N10" s="4"/>
      <c r="O10" s="4"/>
      <c r="P10" s="4"/>
      <c r="Q10" s="4"/>
      <c r="R10" s="4"/>
      <c r="S10" s="4"/>
      <c r="T10" s="4"/>
      <c r="U10" s="4"/>
      <c r="V10" s="4"/>
    </row>
    <row r="11" spans="1:22" s="31" customFormat="1" ht="19.5" customHeight="1">
      <c r="A11" s="36"/>
      <c r="B11" s="37" t="s">
        <v>764</v>
      </c>
      <c r="C11" s="38"/>
      <c r="D11" s="39"/>
      <c r="E11" s="40">
        <f>E16+E29+E41</f>
        <v>429158</v>
      </c>
      <c r="F11" s="40">
        <f t="shared" ref="F11:I11" si="1">F16+F29+F41</f>
        <v>429158</v>
      </c>
      <c r="G11" s="40">
        <f t="shared" si="1"/>
        <v>212463</v>
      </c>
      <c r="H11" s="40">
        <f t="shared" si="1"/>
        <v>73261</v>
      </c>
      <c r="I11" s="40">
        <f t="shared" si="1"/>
        <v>143434</v>
      </c>
      <c r="J11" s="40">
        <f t="shared" ref="J11" si="2">J16+J29</f>
        <v>0</v>
      </c>
      <c r="K11" s="72"/>
      <c r="L11" s="25" t="e">
        <f>#REF!+#REF!+#REF!</f>
        <v>#REF!</v>
      </c>
      <c r="M11" s="25" t="e">
        <f>#REF!+#REF!</f>
        <v>#REF!</v>
      </c>
      <c r="N11" s="25">
        <f>E11-F11</f>
        <v>0</v>
      </c>
      <c r="O11" s="26"/>
      <c r="P11" s="26"/>
      <c r="Q11" s="26"/>
      <c r="R11" s="26"/>
      <c r="S11" s="26"/>
      <c r="T11" s="26"/>
      <c r="U11" s="26"/>
      <c r="V11" s="26"/>
    </row>
    <row r="12" spans="1:22" s="31" customFormat="1" ht="19.5" customHeight="1">
      <c r="A12" s="36" t="s">
        <v>61</v>
      </c>
      <c r="B12" s="41" t="s">
        <v>765</v>
      </c>
      <c r="C12" s="38"/>
      <c r="D12" s="42"/>
      <c r="E12" s="40"/>
      <c r="F12" s="40"/>
      <c r="G12" s="40"/>
      <c r="H12" s="40"/>
      <c r="I12" s="40"/>
      <c r="J12" s="40"/>
      <c r="K12" s="72"/>
      <c r="L12" s="25"/>
      <c r="M12" s="25"/>
      <c r="N12" s="25"/>
      <c r="O12" s="26"/>
      <c r="P12" s="26"/>
      <c r="Q12" s="26"/>
      <c r="R12" s="26"/>
      <c r="S12" s="26"/>
      <c r="T12" s="26"/>
      <c r="U12" s="26"/>
      <c r="V12" s="26"/>
    </row>
    <row r="13" spans="1:22" s="31" customFormat="1" ht="31.5" customHeight="1">
      <c r="A13" s="36" t="s">
        <v>218</v>
      </c>
      <c r="B13" s="41" t="s">
        <v>766</v>
      </c>
      <c r="C13" s="38"/>
      <c r="D13" s="42"/>
      <c r="E13" s="40"/>
      <c r="F13" s="40"/>
      <c r="G13" s="40"/>
      <c r="H13" s="40"/>
      <c r="I13" s="40"/>
      <c r="J13" s="40"/>
      <c r="K13" s="72"/>
      <c r="L13" s="25"/>
      <c r="M13" s="25"/>
      <c r="N13" s="25"/>
      <c r="O13" s="26"/>
      <c r="P13" s="26"/>
      <c r="Q13" s="26"/>
      <c r="R13" s="26"/>
      <c r="S13" s="26"/>
      <c r="T13" s="26"/>
      <c r="U13" s="26"/>
      <c r="V13" s="26"/>
    </row>
    <row r="14" spans="1:22" s="31" customFormat="1" ht="19.5" customHeight="1">
      <c r="A14" s="36" t="s">
        <v>486</v>
      </c>
      <c r="B14" s="41" t="s">
        <v>767</v>
      </c>
      <c r="C14" s="38"/>
      <c r="D14" s="42"/>
      <c r="E14" s="40"/>
      <c r="F14" s="40"/>
      <c r="G14" s="40"/>
      <c r="H14" s="40"/>
      <c r="I14" s="40"/>
      <c r="J14" s="40"/>
      <c r="K14" s="72"/>
      <c r="L14" s="25"/>
      <c r="M14" s="25"/>
      <c r="N14" s="25"/>
      <c r="O14" s="26"/>
      <c r="P14" s="26"/>
      <c r="Q14" s="26"/>
      <c r="R14" s="26"/>
      <c r="S14" s="26"/>
      <c r="T14" s="26"/>
      <c r="U14" s="26"/>
      <c r="V14" s="26"/>
    </row>
    <row r="15" spans="1:22" s="31" customFormat="1" ht="19.5" customHeight="1">
      <c r="A15" s="36" t="s">
        <v>75</v>
      </c>
      <c r="B15" s="41" t="s">
        <v>768</v>
      </c>
      <c r="C15" s="38"/>
      <c r="D15" s="42"/>
      <c r="E15" s="40"/>
      <c r="F15" s="40"/>
      <c r="G15" s="40"/>
      <c r="H15" s="40"/>
      <c r="I15" s="40"/>
      <c r="J15" s="40"/>
      <c r="K15" s="72"/>
      <c r="L15" s="25"/>
      <c r="M15" s="25"/>
      <c r="N15" s="25"/>
      <c r="O15" s="26"/>
      <c r="P15" s="26"/>
      <c r="Q15" s="26"/>
      <c r="R15" s="26"/>
      <c r="S15" s="26"/>
      <c r="T15" s="26"/>
      <c r="U15" s="26"/>
      <c r="V15" s="26"/>
    </row>
    <row r="16" spans="1:22" s="1" customFormat="1" ht="19.5" customHeight="1">
      <c r="A16" s="43" t="s">
        <v>218</v>
      </c>
      <c r="B16" s="44" t="s">
        <v>461</v>
      </c>
      <c r="C16" s="45"/>
      <c r="D16" s="46"/>
      <c r="E16" s="47">
        <f t="shared" ref="E16:F16" si="3">SUM(E17:E28)</f>
        <v>237500</v>
      </c>
      <c r="F16" s="47">
        <f t="shared" si="3"/>
        <v>237500</v>
      </c>
      <c r="G16" s="47">
        <f t="shared" ref="G16:J16" si="4">SUM(G17:G28)</f>
        <v>185195</v>
      </c>
      <c r="H16" s="47">
        <f t="shared" si="4"/>
        <v>35105</v>
      </c>
      <c r="I16" s="47">
        <f t="shared" si="4"/>
        <v>17200</v>
      </c>
      <c r="J16" s="47">
        <f t="shared" si="4"/>
        <v>0</v>
      </c>
      <c r="K16" s="73"/>
      <c r="L16" s="24" t="e">
        <f>#REF!+#REF!</f>
        <v>#REF!</v>
      </c>
      <c r="M16" s="4"/>
      <c r="N16" s="4"/>
      <c r="O16" s="4"/>
      <c r="P16" s="4"/>
      <c r="Q16" s="4"/>
      <c r="R16" s="4"/>
      <c r="S16" s="4" t="s">
        <v>705</v>
      </c>
      <c r="T16" s="4" t="s">
        <v>706</v>
      </c>
      <c r="U16" s="4"/>
      <c r="V16" s="4"/>
    </row>
    <row r="17" spans="1:22" s="1" customFormat="1" ht="31">
      <c r="A17" s="18">
        <v>1</v>
      </c>
      <c r="B17" s="15" t="s">
        <v>769</v>
      </c>
      <c r="C17" s="29" t="s">
        <v>770</v>
      </c>
      <c r="D17" s="48" t="s">
        <v>771</v>
      </c>
      <c r="E17" s="35">
        <v>41000</v>
      </c>
      <c r="F17" s="35">
        <f>SUM(G17:J17)</f>
        <v>41000</v>
      </c>
      <c r="G17" s="22">
        <v>37000</v>
      </c>
      <c r="H17" s="22">
        <v>4000</v>
      </c>
      <c r="I17" s="22"/>
      <c r="J17" s="35"/>
      <c r="K17" s="29"/>
      <c r="L17" s="28"/>
      <c r="M17" s="27">
        <f>I10-I11+E36</f>
        <v>45000</v>
      </c>
      <c r="N17" s="27">
        <f>E17-H17</f>
        <v>37000</v>
      </c>
      <c r="O17" s="4"/>
      <c r="P17" s="4"/>
      <c r="Q17" s="4"/>
      <c r="R17" s="4"/>
      <c r="S17" s="4"/>
      <c r="T17" s="4"/>
      <c r="U17" s="4"/>
      <c r="V17" s="4"/>
    </row>
    <row r="18" spans="1:22" s="1" customFormat="1" ht="46">
      <c r="A18" s="18">
        <v>2</v>
      </c>
      <c r="B18" s="49" t="s">
        <v>772</v>
      </c>
      <c r="C18" s="29" t="s">
        <v>773</v>
      </c>
      <c r="D18" s="50" t="s">
        <v>771</v>
      </c>
      <c r="E18" s="51">
        <v>35000</v>
      </c>
      <c r="F18" s="35">
        <f>SUM(G18:J18)</f>
        <v>35000</v>
      </c>
      <c r="G18" s="21">
        <v>33000</v>
      </c>
      <c r="H18" s="21">
        <v>2000</v>
      </c>
      <c r="I18" s="21"/>
      <c r="J18" s="51"/>
      <c r="K18" s="29"/>
      <c r="L18" s="74">
        <f>E18-F18</f>
        <v>0</v>
      </c>
      <c r="M18" s="4">
        <f>6*13*150*0.5</f>
        <v>5850</v>
      </c>
      <c r="N18" s="4">
        <v>3.5</v>
      </c>
      <c r="O18" s="4">
        <v>1.1000000000000001</v>
      </c>
      <c r="P18" s="4" t="e">
        <f>#REF!*N18*O18</f>
        <v>#REF!</v>
      </c>
      <c r="Q18" s="4">
        <f>2*5.5*0.9</f>
        <v>9.9</v>
      </c>
      <c r="R18" s="4"/>
      <c r="S18" s="27">
        <f>F9+F18</f>
        <v>35000</v>
      </c>
      <c r="T18" s="4"/>
      <c r="U18" s="4">
        <v>0.6</v>
      </c>
      <c r="V18" s="4" t="s">
        <v>686</v>
      </c>
    </row>
    <row r="19" spans="1:22" s="1" customFormat="1" ht="31">
      <c r="A19" s="18">
        <v>3</v>
      </c>
      <c r="B19" s="49" t="s">
        <v>774</v>
      </c>
      <c r="C19" s="29" t="s">
        <v>775</v>
      </c>
      <c r="D19" s="52">
        <v>2026</v>
      </c>
      <c r="E19" s="53">
        <v>5000</v>
      </c>
      <c r="F19" s="35">
        <f>SUM(G19:J19)</f>
        <v>5000</v>
      </c>
      <c r="G19" s="54">
        <v>5000</v>
      </c>
      <c r="H19" s="54"/>
      <c r="I19" s="54"/>
      <c r="J19" s="53"/>
      <c r="K19" s="29"/>
      <c r="L19" s="24"/>
      <c r="M19" s="4"/>
      <c r="N19" s="4"/>
      <c r="O19" s="4"/>
      <c r="P19" s="4"/>
      <c r="Q19" s="4"/>
      <c r="R19" s="4"/>
      <c r="S19" s="27"/>
      <c r="T19" s="4"/>
      <c r="U19" s="4"/>
      <c r="V19" s="4"/>
    </row>
    <row r="20" spans="1:22" s="1" customFormat="1" ht="42">
      <c r="A20" s="18">
        <v>4</v>
      </c>
      <c r="B20" s="54" t="s">
        <v>776</v>
      </c>
      <c r="C20" s="29" t="s">
        <v>726</v>
      </c>
      <c r="D20" s="55">
        <v>2027</v>
      </c>
      <c r="E20" s="56">
        <v>11000</v>
      </c>
      <c r="F20" s="35">
        <f t="shared" ref="F20:F28" si="5">SUM(G20:J20)</f>
        <v>11000</v>
      </c>
      <c r="G20" s="56">
        <v>6000</v>
      </c>
      <c r="H20" s="56">
        <v>5000</v>
      </c>
      <c r="I20" s="56"/>
      <c r="J20" s="56"/>
      <c r="K20" s="75" t="s">
        <v>727</v>
      </c>
      <c r="L20" s="4">
        <f>2200*5.5*0.9</f>
        <v>10890</v>
      </c>
      <c r="M20" s="4"/>
      <c r="N20" s="4">
        <f>2.2*5.5*1.1</f>
        <v>13.310000000000002</v>
      </c>
      <c r="O20" s="4"/>
      <c r="P20" s="4"/>
      <c r="Q20" s="4"/>
      <c r="R20" s="4"/>
      <c r="S20" s="4" t="s">
        <v>685</v>
      </c>
      <c r="T20" s="4">
        <v>1.1000000000000001</v>
      </c>
      <c r="U20" s="4"/>
      <c r="V20" s="4"/>
    </row>
    <row r="21" spans="1:22" s="1" customFormat="1" ht="31">
      <c r="A21" s="18">
        <v>5</v>
      </c>
      <c r="B21" s="54" t="s">
        <v>728</v>
      </c>
      <c r="C21" s="29" t="s">
        <v>729</v>
      </c>
      <c r="D21" s="55">
        <v>2027</v>
      </c>
      <c r="E21" s="56">
        <v>21000</v>
      </c>
      <c r="F21" s="35">
        <f t="shared" si="5"/>
        <v>21000</v>
      </c>
      <c r="G21" s="56">
        <v>15000</v>
      </c>
      <c r="H21" s="56">
        <v>6000</v>
      </c>
      <c r="I21" s="56"/>
      <c r="J21" s="56"/>
      <c r="K21" s="75" t="s">
        <v>722</v>
      </c>
      <c r="L21" s="4">
        <f>4000*5.5*0.95</f>
        <v>20900</v>
      </c>
      <c r="M21" s="4"/>
      <c r="N21" s="4"/>
      <c r="O21" s="4"/>
      <c r="P21" s="4"/>
      <c r="Q21" s="4"/>
      <c r="R21" s="4"/>
      <c r="S21" s="4" t="s">
        <v>686</v>
      </c>
      <c r="T21" s="4">
        <v>0.6</v>
      </c>
      <c r="U21" s="4">
        <f>4000*5.5*1.1</f>
        <v>24200.000000000004</v>
      </c>
      <c r="V21" s="4"/>
    </row>
    <row r="22" spans="1:22" s="1" customFormat="1" ht="31.5">
      <c r="A22" s="18">
        <v>6</v>
      </c>
      <c r="B22" s="49" t="s">
        <v>669</v>
      </c>
      <c r="C22" s="29" t="s">
        <v>716</v>
      </c>
      <c r="D22" s="50">
        <v>2027</v>
      </c>
      <c r="E22" s="51">
        <v>3500</v>
      </c>
      <c r="F22" s="35">
        <f t="shared" si="5"/>
        <v>3500</v>
      </c>
      <c r="G22" s="51">
        <v>3500</v>
      </c>
      <c r="H22" s="51"/>
      <c r="I22" s="51"/>
      <c r="J22" s="51"/>
      <c r="K22" s="75" t="s">
        <v>717</v>
      </c>
      <c r="L22" s="28">
        <f>150*17*1.3</f>
        <v>3315</v>
      </c>
      <c r="M22" s="4"/>
      <c r="N22" s="4"/>
      <c r="O22" s="4"/>
      <c r="P22" s="4" t="e">
        <f>#REF!+P18</f>
        <v>#REF!</v>
      </c>
      <c r="Q22" s="4"/>
      <c r="R22" s="4"/>
      <c r="S22" s="4"/>
      <c r="T22" s="4"/>
      <c r="U22" s="4">
        <v>1.4</v>
      </c>
      <c r="V22" s="4" t="s">
        <v>688</v>
      </c>
    </row>
    <row r="23" spans="1:22" s="1" customFormat="1" ht="46">
      <c r="A23" s="18">
        <v>7</v>
      </c>
      <c r="B23" s="57" t="s">
        <v>257</v>
      </c>
      <c r="C23" s="29" t="s">
        <v>736</v>
      </c>
      <c r="D23" s="52" t="s">
        <v>777</v>
      </c>
      <c r="E23" s="53">
        <v>27000</v>
      </c>
      <c r="F23" s="35">
        <f t="shared" si="5"/>
        <v>27000</v>
      </c>
      <c r="G23" s="51">
        <v>10895</v>
      </c>
      <c r="H23" s="51">
        <v>16105</v>
      </c>
      <c r="I23" s="51"/>
      <c r="J23" s="51"/>
      <c r="K23" s="75" t="s">
        <v>737</v>
      </c>
      <c r="L23" s="4">
        <v>27000</v>
      </c>
      <c r="M23" s="4"/>
      <c r="N23" s="24">
        <f>L23-H23</f>
        <v>10895</v>
      </c>
      <c r="O23" s="4"/>
      <c r="P23" s="4"/>
      <c r="Q23" s="4"/>
      <c r="R23" s="4"/>
      <c r="S23" s="4"/>
      <c r="T23" s="4"/>
      <c r="U23" s="4"/>
      <c r="V23" s="4"/>
    </row>
    <row r="24" spans="1:22" s="1" customFormat="1" ht="31">
      <c r="A24" s="18">
        <v>8</v>
      </c>
      <c r="B24" s="49" t="s">
        <v>778</v>
      </c>
      <c r="C24" s="16" t="s">
        <v>779</v>
      </c>
      <c r="D24" s="50" t="s">
        <v>780</v>
      </c>
      <c r="E24" s="51">
        <v>52000</v>
      </c>
      <c r="F24" s="35">
        <f t="shared" si="5"/>
        <v>52000</v>
      </c>
      <c r="G24" s="51">
        <v>50000</v>
      </c>
      <c r="H24" s="51">
        <v>2000</v>
      </c>
      <c r="I24" s="51"/>
      <c r="J24" s="51"/>
      <c r="K24" s="76"/>
      <c r="L24" s="28"/>
      <c r="M24" s="4"/>
      <c r="N24" s="4">
        <v>3.5</v>
      </c>
      <c r="O24" s="4">
        <v>0.4</v>
      </c>
      <c r="P24" s="4">
        <f>O6*N24*O24</f>
        <v>0</v>
      </c>
      <c r="Q24" s="4"/>
      <c r="R24" s="4"/>
      <c r="S24" s="4" t="s">
        <v>683</v>
      </c>
      <c r="T24" s="4">
        <v>0.4</v>
      </c>
      <c r="U24" s="4"/>
      <c r="V24" s="4"/>
    </row>
    <row r="25" spans="1:22" ht="31">
      <c r="A25" s="18">
        <v>9</v>
      </c>
      <c r="B25" s="57" t="s">
        <v>743</v>
      </c>
      <c r="C25" s="58" t="s">
        <v>781</v>
      </c>
      <c r="D25" s="50">
        <v>2029</v>
      </c>
      <c r="E25" s="51">
        <v>8000</v>
      </c>
      <c r="F25" s="35">
        <f t="shared" si="5"/>
        <v>8000</v>
      </c>
      <c r="G25" s="51"/>
      <c r="H25" s="51"/>
      <c r="I25" s="51">
        <v>8000</v>
      </c>
      <c r="J25" s="51"/>
      <c r="K25" s="75" t="s">
        <v>719</v>
      </c>
      <c r="L25" s="4"/>
      <c r="M25" s="4"/>
      <c r="N25" s="4"/>
      <c r="O25" s="4"/>
      <c r="P25" s="4"/>
      <c r="Q25" s="4"/>
      <c r="R25" s="4"/>
      <c r="S25" s="4"/>
      <c r="T25" s="4"/>
      <c r="U25" s="4"/>
      <c r="V25" s="4"/>
    </row>
    <row r="26" spans="1:22" ht="34.5">
      <c r="A26" s="18">
        <v>10</v>
      </c>
      <c r="B26" s="57" t="s">
        <v>782</v>
      </c>
      <c r="C26" s="58" t="s">
        <v>783</v>
      </c>
      <c r="D26" s="50">
        <v>2029</v>
      </c>
      <c r="E26" s="51">
        <v>21000</v>
      </c>
      <c r="F26" s="35">
        <f t="shared" si="5"/>
        <v>21000</v>
      </c>
      <c r="G26" s="51">
        <v>21000</v>
      </c>
      <c r="H26" s="51"/>
      <c r="I26" s="51"/>
      <c r="J26" s="51"/>
      <c r="K26" s="75"/>
      <c r="L26" s="4"/>
      <c r="M26" s="4"/>
      <c r="N26" s="4"/>
      <c r="O26" s="4"/>
      <c r="P26" s="4"/>
      <c r="Q26" s="4"/>
      <c r="R26" s="4"/>
      <c r="S26" s="4"/>
      <c r="T26" s="4"/>
      <c r="U26" s="4"/>
      <c r="V26" s="4"/>
    </row>
    <row r="27" spans="1:22" ht="31">
      <c r="A27" s="18">
        <v>11</v>
      </c>
      <c r="B27" s="59" t="s">
        <v>482</v>
      </c>
      <c r="C27" s="60" t="s">
        <v>698</v>
      </c>
      <c r="D27" s="61">
        <v>2030</v>
      </c>
      <c r="E27" s="62">
        <v>8000</v>
      </c>
      <c r="F27" s="35">
        <f t="shared" si="5"/>
        <v>8000</v>
      </c>
      <c r="G27" s="51"/>
      <c r="H27" s="51"/>
      <c r="I27" s="51">
        <v>8000</v>
      </c>
      <c r="J27" s="51"/>
      <c r="K27" s="75" t="s">
        <v>719</v>
      </c>
      <c r="L27" s="4"/>
      <c r="M27" s="4"/>
      <c r="N27" s="4"/>
      <c r="O27" s="4"/>
      <c r="P27" s="4"/>
      <c r="Q27" s="4"/>
      <c r="R27" s="4"/>
      <c r="S27" s="4"/>
      <c r="T27" s="4"/>
      <c r="U27" s="4"/>
      <c r="V27" s="4"/>
    </row>
    <row r="28" spans="1:22" ht="31">
      <c r="A28" s="18">
        <v>12</v>
      </c>
      <c r="B28" s="59" t="s">
        <v>484</v>
      </c>
      <c r="C28" s="60" t="s">
        <v>699</v>
      </c>
      <c r="D28" s="61">
        <v>2030</v>
      </c>
      <c r="E28" s="62">
        <v>5000</v>
      </c>
      <c r="F28" s="35">
        <f t="shared" si="5"/>
        <v>5000</v>
      </c>
      <c r="G28" s="51">
        <v>3800</v>
      </c>
      <c r="H28" s="51"/>
      <c r="I28" s="51">
        <v>1200</v>
      </c>
      <c r="J28" s="51"/>
      <c r="K28" s="75" t="s">
        <v>719</v>
      </c>
      <c r="L28" s="4"/>
      <c r="M28" s="4"/>
      <c r="N28" s="4"/>
      <c r="O28" s="4"/>
      <c r="P28" s="4"/>
      <c r="Q28" s="4"/>
      <c r="R28" s="4"/>
      <c r="S28" s="4"/>
      <c r="T28" s="4"/>
      <c r="U28" s="4"/>
      <c r="V28" s="4"/>
    </row>
    <row r="29" spans="1:22" s="1" customFormat="1">
      <c r="A29" s="43" t="s">
        <v>486</v>
      </c>
      <c r="B29" s="44" t="s">
        <v>784</v>
      </c>
      <c r="C29" s="45"/>
      <c r="D29" s="63"/>
      <c r="E29" s="47">
        <f t="shared" ref="E29:G29" si="6">SUM(E30:E40)</f>
        <v>139000</v>
      </c>
      <c r="F29" s="47">
        <f t="shared" si="6"/>
        <v>139000</v>
      </c>
      <c r="G29" s="47">
        <f t="shared" si="6"/>
        <v>21206</v>
      </c>
      <c r="H29" s="47">
        <f t="shared" ref="H29:J29" si="7">SUM(H30:H40)</f>
        <v>26000</v>
      </c>
      <c r="I29" s="47">
        <f t="shared" si="7"/>
        <v>91794</v>
      </c>
      <c r="J29" s="47">
        <f t="shared" si="7"/>
        <v>0</v>
      </c>
      <c r="K29" s="77"/>
      <c r="L29" s="28"/>
      <c r="M29" s="4"/>
      <c r="N29" s="4">
        <f>150*2*3</f>
        <v>900</v>
      </c>
      <c r="O29" s="4"/>
      <c r="P29" s="4"/>
      <c r="Q29" s="4"/>
      <c r="R29" s="4"/>
      <c r="S29" s="4"/>
      <c r="T29" s="4"/>
      <c r="U29" s="4"/>
      <c r="V29" s="4"/>
    </row>
    <row r="30" spans="1:22" s="1" customFormat="1" ht="46.5">
      <c r="A30" s="18">
        <v>1</v>
      </c>
      <c r="B30" s="19" t="s">
        <v>674</v>
      </c>
      <c r="C30" s="60" t="s">
        <v>675</v>
      </c>
      <c r="D30" s="64">
        <v>2026</v>
      </c>
      <c r="E30" s="65">
        <v>9000</v>
      </c>
      <c r="F30" s="35">
        <f>SUM(G30:J30)</f>
        <v>9000</v>
      </c>
      <c r="G30" s="65"/>
      <c r="H30" s="65"/>
      <c r="I30" s="65">
        <v>9000</v>
      </c>
      <c r="J30" s="65"/>
      <c r="K30" s="75" t="s">
        <v>718</v>
      </c>
      <c r="L30" s="28">
        <v>9000</v>
      </c>
      <c r="M30" s="4"/>
      <c r="N30" s="4"/>
      <c r="O30" s="4">
        <f>300*3000</f>
        <v>900000</v>
      </c>
      <c r="P30" s="4"/>
      <c r="Q30" s="4"/>
      <c r="R30" s="4"/>
      <c r="S30" s="4">
        <f>1000*5.5*0.9</f>
        <v>4950</v>
      </c>
      <c r="T30" s="4"/>
      <c r="U30" s="4"/>
      <c r="V30" s="4"/>
    </row>
    <row r="31" spans="1:22" s="1" customFormat="1" ht="46.5">
      <c r="A31" s="18">
        <v>2</v>
      </c>
      <c r="B31" s="19" t="s">
        <v>503</v>
      </c>
      <c r="C31" s="60" t="s">
        <v>504</v>
      </c>
      <c r="D31" s="64" t="s">
        <v>785</v>
      </c>
      <c r="E31" s="65">
        <v>18000</v>
      </c>
      <c r="F31" s="35">
        <f>SUM(G31:J31)</f>
        <v>18000</v>
      </c>
      <c r="G31" s="65">
        <v>506</v>
      </c>
      <c r="H31" s="65"/>
      <c r="I31" s="65">
        <v>17494</v>
      </c>
      <c r="J31" s="65"/>
      <c r="K31" s="75" t="s">
        <v>719</v>
      </c>
      <c r="L31" s="28">
        <v>17500</v>
      </c>
      <c r="M31" s="4"/>
      <c r="N31" s="4"/>
      <c r="O31" s="4"/>
      <c r="P31" s="4"/>
      <c r="Q31" s="4"/>
      <c r="R31" s="4"/>
      <c r="S31" s="4"/>
      <c r="T31" s="4"/>
      <c r="U31" s="4"/>
      <c r="V31" s="4"/>
    </row>
    <row r="32" spans="1:22" s="2" customFormat="1" ht="31">
      <c r="A32" s="18">
        <v>3</v>
      </c>
      <c r="B32" s="15" t="s">
        <v>786</v>
      </c>
      <c r="C32" s="23" t="s">
        <v>787</v>
      </c>
      <c r="D32" s="61">
        <v>2026</v>
      </c>
      <c r="E32" s="62">
        <v>1300</v>
      </c>
      <c r="F32" s="35">
        <f t="shared" ref="F32:F40" si="8">SUM(G32:J32)</f>
        <v>1300</v>
      </c>
      <c r="G32" s="65">
        <v>1300</v>
      </c>
      <c r="H32" s="65"/>
      <c r="I32" s="65"/>
      <c r="J32" s="65"/>
      <c r="K32" s="75" t="s">
        <v>722</v>
      </c>
      <c r="L32" s="28"/>
      <c r="M32" s="4"/>
      <c r="N32" s="4"/>
      <c r="O32" s="4"/>
      <c r="P32" s="4"/>
      <c r="Q32" s="4"/>
      <c r="R32" s="4"/>
      <c r="S32" s="4"/>
      <c r="T32" s="4"/>
      <c r="U32" s="4"/>
      <c r="V32" s="4"/>
    </row>
    <row r="33" spans="1:22" s="1" customFormat="1" ht="31">
      <c r="A33" s="18">
        <v>4</v>
      </c>
      <c r="B33" s="54" t="s">
        <v>690</v>
      </c>
      <c r="C33" s="66" t="s">
        <v>788</v>
      </c>
      <c r="D33" s="55" t="s">
        <v>789</v>
      </c>
      <c r="E33" s="56">
        <v>16000</v>
      </c>
      <c r="F33" s="35">
        <f t="shared" si="8"/>
        <v>16000</v>
      </c>
      <c r="G33" s="65"/>
      <c r="H33" s="65"/>
      <c r="I33" s="65">
        <v>16000</v>
      </c>
      <c r="J33" s="65"/>
      <c r="K33" s="75" t="s">
        <v>722</v>
      </c>
      <c r="L33" s="4">
        <v>16000</v>
      </c>
      <c r="M33" s="4"/>
      <c r="N33" s="4"/>
      <c r="O33" s="4"/>
      <c r="P33" s="4"/>
      <c r="Q33" s="4"/>
      <c r="R33" s="4"/>
      <c r="S33" s="4"/>
      <c r="T33" s="4"/>
      <c r="U33" s="4"/>
      <c r="V33" s="4"/>
    </row>
    <row r="34" spans="1:22" s="1" customFormat="1" ht="46.5">
      <c r="A34" s="18">
        <v>5</v>
      </c>
      <c r="B34" s="54" t="s">
        <v>676</v>
      </c>
      <c r="C34" s="66" t="s">
        <v>677</v>
      </c>
      <c r="D34" s="55">
        <v>2027</v>
      </c>
      <c r="E34" s="56">
        <v>3000</v>
      </c>
      <c r="F34" s="35">
        <f t="shared" si="8"/>
        <v>3000</v>
      </c>
      <c r="G34" s="65"/>
      <c r="H34" s="65"/>
      <c r="I34" s="65">
        <v>3000</v>
      </c>
      <c r="J34" s="65"/>
      <c r="K34" s="75" t="s">
        <v>790</v>
      </c>
      <c r="L34" s="4">
        <v>3200</v>
      </c>
      <c r="M34" s="4">
        <f>425+300</f>
        <v>725</v>
      </c>
      <c r="N34" s="4">
        <f>M34*3</f>
        <v>2175</v>
      </c>
      <c r="O34" s="4">
        <f>700/0.3</f>
        <v>2333.3333333333335</v>
      </c>
      <c r="P34" s="4">
        <f>2000*0.3</f>
        <v>600</v>
      </c>
      <c r="Q34" s="4"/>
      <c r="R34" s="4">
        <f>35*80%</f>
        <v>28</v>
      </c>
      <c r="S34" s="4"/>
      <c r="T34" s="4"/>
      <c r="U34" s="4"/>
      <c r="V34" s="4"/>
    </row>
    <row r="35" spans="1:22" s="1" customFormat="1" ht="42">
      <c r="A35" s="18">
        <v>6</v>
      </c>
      <c r="B35" s="54" t="s">
        <v>694</v>
      </c>
      <c r="C35" s="66" t="s">
        <v>791</v>
      </c>
      <c r="D35" s="55">
        <v>2028</v>
      </c>
      <c r="E35" s="56">
        <v>11000</v>
      </c>
      <c r="F35" s="35">
        <f t="shared" si="8"/>
        <v>11000</v>
      </c>
      <c r="G35" s="65"/>
      <c r="H35" s="65"/>
      <c r="I35" s="65">
        <v>11000</v>
      </c>
      <c r="J35" s="65"/>
      <c r="K35" s="75" t="s">
        <v>738</v>
      </c>
      <c r="L35" s="4">
        <v>14500</v>
      </c>
      <c r="M35" s="4">
        <f>650*15</f>
        <v>9750</v>
      </c>
      <c r="N35" s="4">
        <f>18*30</f>
        <v>540</v>
      </c>
      <c r="O35" s="4"/>
      <c r="P35" s="4"/>
      <c r="Q35" s="4"/>
      <c r="R35" s="4"/>
      <c r="S35" s="4"/>
      <c r="T35" s="4"/>
      <c r="U35" s="4"/>
      <c r="V35" s="4"/>
    </row>
    <row r="36" spans="1:22" s="1" customFormat="1" ht="31">
      <c r="A36" s="18">
        <v>7</v>
      </c>
      <c r="B36" s="54" t="s">
        <v>544</v>
      </c>
      <c r="C36" s="66" t="s">
        <v>792</v>
      </c>
      <c r="D36" s="55">
        <v>2028</v>
      </c>
      <c r="E36" s="56">
        <v>45000</v>
      </c>
      <c r="F36" s="35">
        <f t="shared" si="8"/>
        <v>45000</v>
      </c>
      <c r="G36" s="65">
        <v>9700</v>
      </c>
      <c r="H36" s="65"/>
      <c r="I36" s="65">
        <v>35300</v>
      </c>
      <c r="J36" s="65"/>
      <c r="K36" s="75" t="s">
        <v>722</v>
      </c>
      <c r="L36" s="4"/>
      <c r="M36" s="4"/>
      <c r="N36" s="4"/>
      <c r="O36" s="4"/>
      <c r="P36" s="4">
        <f>6*100*15000</f>
        <v>9000000</v>
      </c>
      <c r="Q36" s="4"/>
      <c r="R36" s="4"/>
      <c r="S36" s="4"/>
      <c r="T36" s="4"/>
      <c r="U36" s="4"/>
      <c r="V36" s="4"/>
    </row>
    <row r="37" spans="1:22" s="1" customFormat="1" ht="46.5">
      <c r="A37" s="18">
        <v>8</v>
      </c>
      <c r="B37" s="54" t="s">
        <v>533</v>
      </c>
      <c r="C37" s="67"/>
      <c r="D37" s="55">
        <v>2028</v>
      </c>
      <c r="E37" s="56">
        <v>2500</v>
      </c>
      <c r="F37" s="35">
        <f t="shared" si="8"/>
        <v>2500</v>
      </c>
      <c r="G37" s="65">
        <v>2500</v>
      </c>
      <c r="H37" s="65"/>
      <c r="I37" s="65"/>
      <c r="J37" s="65"/>
      <c r="K37" s="75" t="s">
        <v>722</v>
      </c>
      <c r="L37" s="4">
        <v>2500</v>
      </c>
      <c r="M37" s="4"/>
      <c r="N37" s="4">
        <v>3.5</v>
      </c>
      <c r="O37" s="4">
        <v>0.4</v>
      </c>
      <c r="P37" s="4" t="e">
        <f>#REF!*N37*O37</f>
        <v>#REF!</v>
      </c>
      <c r="Q37" s="4"/>
      <c r="R37" s="4">
        <f>15*12*12000</f>
        <v>2160000</v>
      </c>
      <c r="S37" s="4"/>
      <c r="T37" s="4"/>
      <c r="U37" s="4"/>
      <c r="V37" s="4"/>
    </row>
    <row r="38" spans="1:22" s="1" customFormat="1" ht="31">
      <c r="A38" s="18">
        <v>9</v>
      </c>
      <c r="B38" s="54" t="s">
        <v>540</v>
      </c>
      <c r="C38" s="68"/>
      <c r="D38" s="55">
        <v>2029</v>
      </c>
      <c r="E38" s="56">
        <v>2000</v>
      </c>
      <c r="F38" s="35">
        <f t="shared" si="8"/>
        <v>2000</v>
      </c>
      <c r="G38" s="65">
        <v>2000</v>
      </c>
      <c r="H38" s="65"/>
      <c r="I38" s="65"/>
      <c r="J38" s="65"/>
      <c r="K38" s="75" t="s">
        <v>719</v>
      </c>
      <c r="L38" s="4">
        <v>3500</v>
      </c>
      <c r="M38" s="4"/>
      <c r="N38" s="4"/>
      <c r="O38" s="4"/>
      <c r="P38" s="4"/>
      <c r="Q38" s="4"/>
      <c r="R38" s="4"/>
      <c r="S38" s="4"/>
      <c r="T38" s="4"/>
      <c r="U38" s="4"/>
      <c r="V38" s="4"/>
    </row>
    <row r="39" spans="1:22" s="1" customFormat="1" ht="31">
      <c r="A39" s="18">
        <v>10</v>
      </c>
      <c r="B39" s="57" t="s">
        <v>615</v>
      </c>
      <c r="C39" s="29"/>
      <c r="D39" s="52">
        <v>2029</v>
      </c>
      <c r="E39" s="53">
        <v>1200</v>
      </c>
      <c r="F39" s="35">
        <f t="shared" si="8"/>
        <v>1200</v>
      </c>
      <c r="G39" s="65">
        <v>1200</v>
      </c>
      <c r="H39" s="65"/>
      <c r="I39" s="65"/>
      <c r="J39" s="65"/>
      <c r="K39" s="75" t="s">
        <v>722</v>
      </c>
      <c r="L39" s="4">
        <v>3500</v>
      </c>
      <c r="M39" s="4"/>
      <c r="N39" s="4"/>
      <c r="O39" s="4"/>
      <c r="P39" s="4"/>
      <c r="Q39" s="4"/>
      <c r="R39" s="4"/>
      <c r="S39" s="4"/>
      <c r="T39" s="4"/>
      <c r="U39" s="4"/>
      <c r="V39" s="4"/>
    </row>
    <row r="40" spans="1:22" s="1" customFormat="1" ht="52.5">
      <c r="A40" s="18">
        <v>11</v>
      </c>
      <c r="B40" s="54" t="s">
        <v>703</v>
      </c>
      <c r="C40" s="66" t="s">
        <v>527</v>
      </c>
      <c r="D40" s="55">
        <v>2030</v>
      </c>
      <c r="E40" s="56">
        <v>30000</v>
      </c>
      <c r="F40" s="35">
        <f t="shared" si="8"/>
        <v>30000</v>
      </c>
      <c r="G40" s="65">
        <v>4000</v>
      </c>
      <c r="H40" s="65">
        <v>26000</v>
      </c>
      <c r="I40" s="65"/>
      <c r="J40" s="65"/>
      <c r="K40" s="75" t="s">
        <v>754</v>
      </c>
      <c r="L40" s="4">
        <v>32000</v>
      </c>
      <c r="M40" s="4">
        <f>7*300*15</f>
        <v>31500</v>
      </c>
      <c r="N40" s="4"/>
      <c r="O40" s="4"/>
      <c r="P40" s="4"/>
      <c r="Q40" s="4"/>
      <c r="R40" s="4"/>
      <c r="S40" s="4"/>
      <c r="T40" s="4">
        <f>7*300*15</f>
        <v>31500</v>
      </c>
      <c r="U40" s="4"/>
      <c r="V40" s="4"/>
    </row>
    <row r="41" spans="1:22" s="1" customFormat="1" ht="19.5" customHeight="1">
      <c r="A41" s="43" t="s">
        <v>492</v>
      </c>
      <c r="B41" s="44" t="s">
        <v>793</v>
      </c>
      <c r="C41" s="45"/>
      <c r="D41" s="46"/>
      <c r="E41" s="47">
        <f>F41</f>
        <v>52658</v>
      </c>
      <c r="F41" s="47">
        <f>G41+H41+I41</f>
        <v>52658</v>
      </c>
      <c r="G41" s="47">
        <v>6062</v>
      </c>
      <c r="H41" s="47">
        <v>12156</v>
      </c>
      <c r="I41" s="47">
        <v>34440</v>
      </c>
      <c r="J41" s="47"/>
      <c r="K41" s="73"/>
      <c r="L41" s="24"/>
      <c r="M41" s="4"/>
      <c r="N41" s="4"/>
      <c r="O41" s="4"/>
      <c r="P41" s="4"/>
      <c r="Q41" s="4"/>
      <c r="R41" s="4"/>
      <c r="S41" s="4"/>
      <c r="T41" s="4"/>
      <c r="U41" s="4"/>
      <c r="V41" s="4"/>
    </row>
    <row r="43" spans="1:22">
      <c r="F43" s="69">
        <f>G41+H41+I41</f>
        <v>52658</v>
      </c>
    </row>
    <row r="44" spans="1:22">
      <c r="F44" s="33">
        <f>82658/429158*100</f>
        <v>19.260505454867438</v>
      </c>
      <c r="G44" s="69">
        <f>F41-F28-F26</f>
        <v>26658</v>
      </c>
      <c r="H44" s="69">
        <f>G40-G41</f>
        <v>-2062</v>
      </c>
      <c r="I44" s="69">
        <f>H41-H40</f>
        <v>-13844</v>
      </c>
    </row>
  </sheetData>
  <mergeCells count="16">
    <mergeCell ref="A1:K1"/>
    <mergeCell ref="A2:K2"/>
    <mergeCell ref="A3:K3"/>
    <mergeCell ref="A4:K4"/>
    <mergeCell ref="G5:J5"/>
    <mergeCell ref="A5:A7"/>
    <mergeCell ref="B5:B7"/>
    <mergeCell ref="C5:C7"/>
    <mergeCell ref="D5:D7"/>
    <mergeCell ref="E5:E7"/>
    <mergeCell ref="F5:F7"/>
    <mergeCell ref="G6:G7"/>
    <mergeCell ref="H6:H7"/>
    <mergeCell ref="I6:I7"/>
    <mergeCell ref="J6:J7"/>
    <mergeCell ref="K5:K7"/>
  </mergeCells>
  <pageMargins left="0.21" right="0.17" top="0.44" bottom="0.26" header="0.3" footer="0.3"/>
  <pageSetup paperSize="9" scale="83" orientation="landscape"/>
  <colBreaks count="1" manualBreakCount="1">
    <brk id="1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12"/>
  <sheetViews>
    <sheetView zoomScaleNormal="100" workbookViewId="0">
      <selection activeCell="A3" sqref="A3:J3"/>
    </sheetView>
  </sheetViews>
  <sheetFormatPr defaultColWidth="9.1796875" defaultRowHeight="15.5"/>
  <cols>
    <col min="1" max="1" width="5.453125" style="3" customWidth="1"/>
    <col min="2" max="2" width="34.81640625" style="4" customWidth="1"/>
    <col min="3" max="3" width="10.81640625" style="5" customWidth="1"/>
    <col min="4" max="4" width="9.7265625" style="5" customWidth="1"/>
    <col min="5" max="9" width="9.7265625" style="4" customWidth="1"/>
    <col min="10" max="10" width="6.26953125" style="6" customWidth="1"/>
    <col min="11" max="11" width="9.81640625" style="8" bestFit="1" customWidth="1"/>
    <col min="12" max="16384" width="9.1796875" style="8"/>
  </cols>
  <sheetData>
    <row r="1" spans="1:10" ht="21.75" customHeight="1">
      <c r="A1" s="30"/>
      <c r="B1" s="9"/>
      <c r="C1" s="9"/>
      <c r="D1" s="9"/>
      <c r="E1" s="9"/>
      <c r="F1" s="9"/>
      <c r="G1" s="9"/>
      <c r="H1" s="9"/>
      <c r="I1" s="624" t="s">
        <v>805</v>
      </c>
      <c r="J1" s="624"/>
    </row>
    <row r="2" spans="1:10" s="1" customFormat="1" ht="18.5">
      <c r="A2" s="626" t="s">
        <v>812</v>
      </c>
      <c r="B2" s="613"/>
      <c r="C2" s="613"/>
      <c r="D2" s="613"/>
      <c r="E2" s="613"/>
      <c r="F2" s="613"/>
      <c r="G2" s="613"/>
      <c r="H2" s="613"/>
      <c r="I2" s="613"/>
      <c r="J2" s="614"/>
    </row>
    <row r="3" spans="1:10" s="1" customFormat="1" ht="18.649999999999999" customHeight="1">
      <c r="A3" s="627" t="s">
        <v>813</v>
      </c>
      <c r="B3" s="616"/>
      <c r="C3" s="616"/>
      <c r="D3" s="616"/>
      <c r="E3" s="616"/>
      <c r="F3" s="616"/>
      <c r="G3" s="616"/>
      <c r="H3" s="616"/>
      <c r="I3" s="616"/>
      <c r="J3" s="616"/>
    </row>
    <row r="4" spans="1:10" s="1" customFormat="1" ht="24" customHeight="1">
      <c r="A4" s="582" t="s">
        <v>2</v>
      </c>
      <c r="B4" s="583"/>
      <c r="C4" s="583"/>
      <c r="D4" s="583"/>
      <c r="E4" s="583"/>
      <c r="F4" s="583"/>
      <c r="G4" s="583"/>
      <c r="H4" s="583"/>
      <c r="I4" s="583"/>
      <c r="J4" s="514"/>
    </row>
    <row r="5" spans="1:10" s="442" customFormat="1" ht="22" customHeight="1">
      <c r="A5" s="631" t="s">
        <v>652</v>
      </c>
      <c r="B5" s="628" t="s">
        <v>7</v>
      </c>
      <c r="C5" s="628" t="s">
        <v>794</v>
      </c>
      <c r="D5" s="628" t="s">
        <v>628</v>
      </c>
      <c r="E5" s="625" t="s">
        <v>760</v>
      </c>
      <c r="F5" s="625" t="s">
        <v>807</v>
      </c>
      <c r="G5" s="625" t="s">
        <v>19</v>
      </c>
      <c r="H5" s="625"/>
      <c r="I5" s="625"/>
      <c r="J5" s="628" t="s">
        <v>14</v>
      </c>
    </row>
    <row r="6" spans="1:10" s="442" customFormat="1" ht="15.75" customHeight="1">
      <c r="A6" s="632"/>
      <c r="B6" s="629"/>
      <c r="C6" s="629"/>
      <c r="D6" s="629"/>
      <c r="E6" s="625"/>
      <c r="F6" s="625"/>
      <c r="G6" s="625" t="s">
        <v>757</v>
      </c>
      <c r="H6" s="625" t="s">
        <v>796</v>
      </c>
      <c r="I6" s="625" t="s">
        <v>795</v>
      </c>
      <c r="J6" s="629"/>
    </row>
    <row r="7" spans="1:10" s="442" customFormat="1" ht="36" customHeight="1">
      <c r="A7" s="633"/>
      <c r="B7" s="630"/>
      <c r="C7" s="630"/>
      <c r="D7" s="630"/>
      <c r="E7" s="625"/>
      <c r="F7" s="625"/>
      <c r="G7" s="625"/>
      <c r="H7" s="625"/>
      <c r="I7" s="625"/>
      <c r="J7" s="630"/>
    </row>
    <row r="8" spans="1:10" s="1" customFormat="1">
      <c r="A8" s="443">
        <v>1</v>
      </c>
      <c r="B8" s="70">
        <v>2</v>
      </c>
      <c r="C8" s="443">
        <v>3</v>
      </c>
      <c r="D8" s="70">
        <v>4</v>
      </c>
      <c r="E8" s="443">
        <v>5</v>
      </c>
      <c r="F8" s="444" t="s">
        <v>763</v>
      </c>
      <c r="G8" s="70">
        <v>7</v>
      </c>
      <c r="H8" s="70">
        <v>8</v>
      </c>
      <c r="I8" s="70">
        <v>9</v>
      </c>
      <c r="J8" s="70">
        <v>10</v>
      </c>
    </row>
    <row r="9" spans="1:10" s="463" customFormat="1" ht="16.5">
      <c r="A9" s="468"/>
      <c r="B9" s="469" t="s">
        <v>810</v>
      </c>
      <c r="C9" s="468"/>
      <c r="D9" s="466"/>
      <c r="E9" s="466"/>
      <c r="F9" s="482">
        <f>SUM(G9:I9)</f>
        <v>75095</v>
      </c>
      <c r="G9" s="482">
        <f>G10+G11</f>
        <v>34801</v>
      </c>
      <c r="H9" s="482">
        <f t="shared" ref="H9:I9" si="0">H10+H11</f>
        <v>23494</v>
      </c>
      <c r="I9" s="482">
        <f t="shared" si="0"/>
        <v>16800</v>
      </c>
      <c r="J9" s="470"/>
    </row>
    <row r="10" spans="1:10" s="479" customFormat="1" ht="46.5" customHeight="1">
      <c r="A10" s="467" t="s">
        <v>218</v>
      </c>
      <c r="B10" s="464" t="s">
        <v>808</v>
      </c>
      <c r="C10" s="467"/>
      <c r="D10" s="467"/>
      <c r="E10" s="467"/>
      <c r="F10" s="482">
        <f>SUM(G10:I10)</f>
        <v>70295</v>
      </c>
      <c r="G10" s="482">
        <f>'bieu 1 nguon von'!C10</f>
        <v>34801</v>
      </c>
      <c r="H10" s="482">
        <f>'bieu 1 nguon von'!C11</f>
        <v>23494</v>
      </c>
      <c r="I10" s="482">
        <v>12000</v>
      </c>
      <c r="J10" s="478"/>
    </row>
    <row r="11" spans="1:10" s="441" customFormat="1" ht="46.5" customHeight="1">
      <c r="A11" s="477" t="s">
        <v>486</v>
      </c>
      <c r="B11" s="465" t="s">
        <v>809</v>
      </c>
      <c r="C11" s="477"/>
      <c r="D11" s="467"/>
      <c r="E11" s="480">
        <f>E12</f>
        <v>11500</v>
      </c>
      <c r="F11" s="482">
        <f>SUM(G11:I11)</f>
        <v>4800</v>
      </c>
      <c r="G11" s="482"/>
      <c r="H11" s="482"/>
      <c r="I11" s="482">
        <v>4800</v>
      </c>
      <c r="J11" s="481"/>
    </row>
    <row r="12" spans="1:10" s="2" customFormat="1" ht="46.5" customHeight="1">
      <c r="A12" s="471">
        <v>1</v>
      </c>
      <c r="B12" s="476" t="s">
        <v>806</v>
      </c>
      <c r="C12" s="471"/>
      <c r="D12" s="472" t="s">
        <v>771</v>
      </c>
      <c r="E12" s="473">
        <v>11500</v>
      </c>
      <c r="F12" s="474"/>
      <c r="G12" s="474"/>
      <c r="H12" s="474"/>
      <c r="I12" s="474"/>
      <c r="J12" s="475"/>
    </row>
  </sheetData>
  <mergeCells count="15">
    <mergeCell ref="I1:J1"/>
    <mergeCell ref="F5:F7"/>
    <mergeCell ref="G5:I5"/>
    <mergeCell ref="G6:G7"/>
    <mergeCell ref="H6:H7"/>
    <mergeCell ref="I6:I7"/>
    <mergeCell ref="A2:J2"/>
    <mergeCell ref="A3:J3"/>
    <mergeCell ref="A4:J4"/>
    <mergeCell ref="E5:E7"/>
    <mergeCell ref="J5:J7"/>
    <mergeCell ref="A5:A7"/>
    <mergeCell ref="B5:B7"/>
    <mergeCell ref="C5:C7"/>
    <mergeCell ref="D5:D7"/>
  </mergeCells>
  <pageMargins left="0.25" right="0.24" top="0.59" bottom="0.4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77"/>
  <sheetViews>
    <sheetView zoomScale="55" zoomScaleNormal="55" workbookViewId="0">
      <selection activeCell="G46" sqref="G46"/>
    </sheetView>
  </sheetViews>
  <sheetFormatPr defaultColWidth="9.1796875" defaultRowHeight="15.5"/>
  <cols>
    <col min="1" max="1" width="6.7265625" style="294" customWidth="1"/>
    <col min="2" max="2" width="11.81640625" style="295" customWidth="1"/>
    <col min="3" max="3" width="10.7265625" style="295" customWidth="1"/>
    <col min="4" max="4" width="10.26953125" style="294" customWidth="1"/>
    <col min="5" max="5" width="26.7265625" style="295" customWidth="1"/>
    <col min="6" max="6" width="12.54296875" style="295" customWidth="1"/>
    <col min="7" max="9" width="10.7265625" style="295" customWidth="1"/>
    <col min="10" max="10" width="13.7265625" style="294" customWidth="1"/>
    <col min="11" max="12" width="10.7265625" style="294" customWidth="1"/>
    <col min="13" max="13" width="12.1796875" style="295" customWidth="1"/>
    <col min="14" max="15" width="10.7265625" style="295" customWidth="1"/>
    <col min="16" max="16" width="10.7265625" style="294" customWidth="1"/>
    <col min="17" max="18" width="10.7265625" style="295" customWidth="1"/>
    <col min="19" max="22" width="13.7265625" style="295" customWidth="1"/>
    <col min="23" max="24" width="10.7265625" style="295" customWidth="1"/>
    <col min="25" max="27" width="11.7265625" style="295" customWidth="1"/>
    <col min="28" max="42" width="10.7265625" style="295" customWidth="1"/>
    <col min="43" max="43" width="10.7265625" style="292" customWidth="1"/>
    <col min="44" max="16384" width="9.1796875" style="295"/>
  </cols>
  <sheetData>
    <row r="1" spans="1:43" ht="41.25" customHeight="1">
      <c r="A1" s="489" t="s">
        <v>128</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490"/>
      <c r="AK1" s="490"/>
      <c r="AL1" s="490"/>
      <c r="AM1" s="490"/>
      <c r="AN1" s="490"/>
      <c r="AO1" s="490"/>
      <c r="AP1" s="490"/>
      <c r="AQ1" s="490"/>
    </row>
    <row r="2" spans="1:43" ht="41.25" customHeight="1">
      <c r="A2" s="489" t="s">
        <v>129</v>
      </c>
      <c r="B2" s="490"/>
      <c r="C2" s="490"/>
      <c r="D2" s="490"/>
      <c r="E2" s="490"/>
      <c r="F2" s="490"/>
      <c r="G2" s="490"/>
      <c r="H2" s="490"/>
      <c r="I2" s="490"/>
      <c r="J2" s="490"/>
      <c r="K2" s="490"/>
      <c r="L2" s="490"/>
      <c r="M2" s="490"/>
      <c r="N2" s="490"/>
      <c r="O2" s="490"/>
      <c r="P2" s="490"/>
      <c r="Q2" s="490"/>
      <c r="R2" s="490"/>
      <c r="S2" s="490"/>
      <c r="T2" s="490"/>
      <c r="U2" s="490"/>
      <c r="V2" s="490"/>
      <c r="W2" s="490"/>
      <c r="X2" s="490"/>
      <c r="Y2" s="490"/>
      <c r="Z2" s="490"/>
      <c r="AA2" s="490"/>
      <c r="AB2" s="490"/>
      <c r="AC2" s="490"/>
      <c r="AD2" s="490"/>
      <c r="AE2" s="490"/>
      <c r="AF2" s="490"/>
      <c r="AG2" s="490"/>
      <c r="AH2" s="490"/>
      <c r="AI2" s="490"/>
      <c r="AJ2" s="490"/>
      <c r="AK2" s="490"/>
      <c r="AL2" s="490"/>
      <c r="AM2" s="490"/>
      <c r="AN2" s="490"/>
      <c r="AO2" s="490"/>
      <c r="AP2" s="490"/>
      <c r="AQ2" s="490"/>
    </row>
    <row r="3" spans="1:43" ht="33" customHeight="1">
      <c r="A3" s="491" t="s">
        <v>2</v>
      </c>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c r="AJ3" s="492"/>
      <c r="AK3" s="492"/>
      <c r="AL3" s="492"/>
      <c r="AM3" s="492"/>
      <c r="AN3" s="492"/>
      <c r="AO3" s="492"/>
      <c r="AP3" s="492"/>
      <c r="AQ3" s="492"/>
    </row>
    <row r="4" spans="1:43" s="292" customFormat="1" ht="41.25" customHeight="1">
      <c r="A4" s="493" t="s">
        <v>3</v>
      </c>
      <c r="B4" s="511" t="s">
        <v>4</v>
      </c>
      <c r="C4" s="511" t="s">
        <v>5</v>
      </c>
      <c r="D4" s="511" t="s">
        <v>130</v>
      </c>
      <c r="E4" s="496" t="s">
        <v>7</v>
      </c>
      <c r="F4" s="493" t="s">
        <v>8</v>
      </c>
      <c r="G4" s="493"/>
      <c r="H4" s="493"/>
      <c r="I4" s="493"/>
      <c r="J4" s="493"/>
      <c r="K4" s="493"/>
      <c r="L4" s="493"/>
      <c r="M4" s="493"/>
      <c r="N4" s="493"/>
      <c r="O4" s="493"/>
      <c r="P4" s="496" t="s">
        <v>9</v>
      </c>
      <c r="Q4" s="496" t="s">
        <v>98</v>
      </c>
      <c r="R4" s="494" t="s">
        <v>99</v>
      </c>
      <c r="S4" s="495"/>
      <c r="T4" s="495"/>
      <c r="U4" s="495"/>
      <c r="V4" s="495"/>
      <c r="W4" s="495"/>
      <c r="X4" s="493" t="s">
        <v>100</v>
      </c>
      <c r="Y4" s="493"/>
      <c r="Z4" s="493"/>
      <c r="AA4" s="493"/>
      <c r="AB4" s="493"/>
      <c r="AC4" s="493" t="s">
        <v>101</v>
      </c>
      <c r="AD4" s="493"/>
      <c r="AE4" s="493"/>
      <c r="AF4" s="493"/>
      <c r="AG4" s="493"/>
      <c r="AH4" s="493"/>
      <c r="AI4" s="493"/>
      <c r="AJ4" s="493"/>
      <c r="AK4" s="493"/>
      <c r="AL4" s="493"/>
      <c r="AM4" s="493"/>
      <c r="AN4" s="493"/>
      <c r="AO4" s="493"/>
      <c r="AP4" s="493"/>
      <c r="AQ4" s="496" t="s">
        <v>14</v>
      </c>
    </row>
    <row r="5" spans="1:43" s="292" customFormat="1" ht="15.75" customHeight="1">
      <c r="A5" s="493"/>
      <c r="B5" s="511"/>
      <c r="C5" s="511"/>
      <c r="D5" s="511"/>
      <c r="E5" s="496"/>
      <c r="F5" s="493" t="s">
        <v>15</v>
      </c>
      <c r="G5" s="493"/>
      <c r="H5" s="493"/>
      <c r="I5" s="493" t="s">
        <v>16</v>
      </c>
      <c r="J5" s="493"/>
      <c r="K5" s="493"/>
      <c r="L5" s="493"/>
      <c r="M5" s="493"/>
      <c r="N5" s="493"/>
      <c r="O5" s="493"/>
      <c r="P5" s="496"/>
      <c r="Q5" s="496"/>
      <c r="R5" s="506" t="s">
        <v>17</v>
      </c>
      <c r="S5" s="497" t="s">
        <v>18</v>
      </c>
      <c r="T5" s="497"/>
      <c r="U5" s="497"/>
      <c r="V5" s="497"/>
      <c r="W5" s="497"/>
      <c r="X5" s="499" t="s">
        <v>17</v>
      </c>
      <c r="Y5" s="498" t="s">
        <v>19</v>
      </c>
      <c r="Z5" s="498"/>
      <c r="AA5" s="498"/>
      <c r="AB5" s="498"/>
      <c r="AC5" s="510" t="s">
        <v>20</v>
      </c>
      <c r="AD5" s="493" t="s">
        <v>21</v>
      </c>
      <c r="AE5" s="493"/>
      <c r="AF5" s="493"/>
      <c r="AG5" s="493"/>
      <c r="AH5" s="493"/>
      <c r="AI5" s="493"/>
      <c r="AJ5" s="493"/>
      <c r="AK5" s="493"/>
      <c r="AL5" s="493"/>
      <c r="AM5" s="493"/>
      <c r="AN5" s="493"/>
      <c r="AO5" s="493"/>
      <c r="AP5" s="493"/>
      <c r="AQ5" s="496"/>
    </row>
    <row r="6" spans="1:43" s="292" customFormat="1" ht="15.75" customHeight="1">
      <c r="A6" s="493"/>
      <c r="B6" s="511"/>
      <c r="C6" s="511"/>
      <c r="D6" s="511"/>
      <c r="E6" s="496"/>
      <c r="F6" s="496" t="s">
        <v>22</v>
      </c>
      <c r="G6" s="503" t="s">
        <v>23</v>
      </c>
      <c r="H6" s="503"/>
      <c r="I6" s="496" t="s">
        <v>24</v>
      </c>
      <c r="J6" s="496" t="s">
        <v>25</v>
      </c>
      <c r="K6" s="496" t="s">
        <v>26</v>
      </c>
      <c r="L6" s="496"/>
      <c r="M6" s="496" t="s">
        <v>22</v>
      </c>
      <c r="N6" s="503" t="s">
        <v>23</v>
      </c>
      <c r="O6" s="503"/>
      <c r="P6" s="496"/>
      <c r="Q6" s="496"/>
      <c r="R6" s="506"/>
      <c r="S6" s="507" t="s">
        <v>27</v>
      </c>
      <c r="T6" s="507" t="s">
        <v>28</v>
      </c>
      <c r="U6" s="507" t="s">
        <v>29</v>
      </c>
      <c r="V6" s="507" t="s">
        <v>30</v>
      </c>
      <c r="W6" s="507" t="s">
        <v>31</v>
      </c>
      <c r="X6" s="499"/>
      <c r="Y6" s="500" t="s">
        <v>32</v>
      </c>
      <c r="Z6" s="500" t="s">
        <v>33</v>
      </c>
      <c r="AA6" s="500" t="s">
        <v>34</v>
      </c>
      <c r="AB6" s="500" t="s">
        <v>35</v>
      </c>
      <c r="AC6" s="510"/>
      <c r="AD6" s="503" t="s">
        <v>36</v>
      </c>
      <c r="AE6" s="504" t="s">
        <v>102</v>
      </c>
      <c r="AF6" s="505"/>
      <c r="AG6" s="505"/>
      <c r="AH6" s="505"/>
      <c r="AI6" s="505"/>
      <c r="AJ6" s="505"/>
      <c r="AK6" s="505"/>
      <c r="AL6" s="505"/>
      <c r="AM6" s="505"/>
      <c r="AN6" s="505"/>
      <c r="AO6" s="505"/>
      <c r="AP6" s="505"/>
      <c r="AQ6" s="496"/>
    </row>
    <row r="7" spans="1:43" s="292" customFormat="1" ht="15.75" customHeight="1">
      <c r="A7" s="493"/>
      <c r="B7" s="511"/>
      <c r="C7" s="511"/>
      <c r="D7" s="511"/>
      <c r="E7" s="496"/>
      <c r="F7" s="496"/>
      <c r="G7" s="503" t="s">
        <v>131</v>
      </c>
      <c r="H7" s="503" t="s">
        <v>104</v>
      </c>
      <c r="I7" s="496"/>
      <c r="J7" s="496"/>
      <c r="K7" s="496" t="s">
        <v>40</v>
      </c>
      <c r="L7" s="496" t="s">
        <v>41</v>
      </c>
      <c r="M7" s="496"/>
      <c r="N7" s="503" t="s">
        <v>131</v>
      </c>
      <c r="O7" s="503" t="s">
        <v>104</v>
      </c>
      <c r="P7" s="496"/>
      <c r="Q7" s="496"/>
      <c r="R7" s="506"/>
      <c r="S7" s="508"/>
      <c r="T7" s="508"/>
      <c r="U7" s="508"/>
      <c r="V7" s="508"/>
      <c r="W7" s="508"/>
      <c r="X7" s="499"/>
      <c r="Y7" s="501"/>
      <c r="Z7" s="501"/>
      <c r="AA7" s="501"/>
      <c r="AB7" s="501"/>
      <c r="AC7" s="510"/>
      <c r="AD7" s="503"/>
      <c r="AE7" s="510" t="s">
        <v>42</v>
      </c>
      <c r="AF7" s="503" t="s">
        <v>43</v>
      </c>
      <c r="AG7" s="503"/>
      <c r="AH7" s="503"/>
      <c r="AI7" s="503"/>
      <c r="AJ7" s="503"/>
      <c r="AK7" s="503"/>
      <c r="AL7" s="503"/>
      <c r="AM7" s="503"/>
      <c r="AN7" s="503"/>
      <c r="AO7" s="503"/>
      <c r="AP7" s="503"/>
      <c r="AQ7" s="496"/>
    </row>
    <row r="8" spans="1:43" s="292" customFormat="1" ht="15.75" customHeight="1">
      <c r="A8" s="493"/>
      <c r="B8" s="511"/>
      <c r="C8" s="511"/>
      <c r="D8" s="511"/>
      <c r="E8" s="496"/>
      <c r="F8" s="496"/>
      <c r="G8" s="503"/>
      <c r="H8" s="503"/>
      <c r="I8" s="496"/>
      <c r="J8" s="496"/>
      <c r="K8" s="496"/>
      <c r="L8" s="496"/>
      <c r="M8" s="496"/>
      <c r="N8" s="503"/>
      <c r="O8" s="503"/>
      <c r="P8" s="496"/>
      <c r="Q8" s="496"/>
      <c r="R8" s="506"/>
      <c r="S8" s="508"/>
      <c r="T8" s="508"/>
      <c r="U8" s="508"/>
      <c r="V8" s="508"/>
      <c r="W8" s="508"/>
      <c r="X8" s="499"/>
      <c r="Y8" s="501"/>
      <c r="Z8" s="501"/>
      <c r="AA8" s="501"/>
      <c r="AB8" s="501"/>
      <c r="AC8" s="510"/>
      <c r="AD8" s="503"/>
      <c r="AE8" s="510"/>
      <c r="AF8" s="497" t="s">
        <v>44</v>
      </c>
      <c r="AG8" s="497"/>
      <c r="AH8" s="497"/>
      <c r="AI8" s="497"/>
      <c r="AJ8" s="497"/>
      <c r="AK8" s="497"/>
      <c r="AL8" s="498" t="s">
        <v>105</v>
      </c>
      <c r="AM8" s="498"/>
      <c r="AN8" s="498"/>
      <c r="AO8" s="498"/>
      <c r="AP8" s="498"/>
      <c r="AQ8" s="496"/>
    </row>
    <row r="9" spans="1:43" s="292" customFormat="1" ht="15.75" customHeight="1">
      <c r="A9" s="493"/>
      <c r="B9" s="511"/>
      <c r="C9" s="511"/>
      <c r="D9" s="511"/>
      <c r="E9" s="496"/>
      <c r="F9" s="496"/>
      <c r="G9" s="503"/>
      <c r="H9" s="503"/>
      <c r="I9" s="496"/>
      <c r="J9" s="496"/>
      <c r="K9" s="496"/>
      <c r="L9" s="496"/>
      <c r="M9" s="496"/>
      <c r="N9" s="503"/>
      <c r="O9" s="503"/>
      <c r="P9" s="496"/>
      <c r="Q9" s="496"/>
      <c r="R9" s="506"/>
      <c r="S9" s="508"/>
      <c r="T9" s="508"/>
      <c r="U9" s="508"/>
      <c r="V9" s="508"/>
      <c r="W9" s="508"/>
      <c r="X9" s="499"/>
      <c r="Y9" s="501"/>
      <c r="Z9" s="501"/>
      <c r="AA9" s="501"/>
      <c r="AB9" s="501"/>
      <c r="AC9" s="510"/>
      <c r="AD9" s="503"/>
      <c r="AE9" s="510"/>
      <c r="AF9" s="506" t="s">
        <v>46</v>
      </c>
      <c r="AG9" s="497" t="s">
        <v>47</v>
      </c>
      <c r="AH9" s="497"/>
      <c r="AI9" s="497"/>
      <c r="AJ9" s="497"/>
      <c r="AK9" s="497"/>
      <c r="AL9" s="499" t="s">
        <v>48</v>
      </c>
      <c r="AM9" s="498" t="s">
        <v>19</v>
      </c>
      <c r="AN9" s="498"/>
      <c r="AO9" s="498"/>
      <c r="AP9" s="498"/>
      <c r="AQ9" s="496"/>
    </row>
    <row r="10" spans="1:43" s="292" customFormat="1" ht="92.25" customHeight="1">
      <c r="A10" s="493"/>
      <c r="B10" s="511"/>
      <c r="C10" s="511"/>
      <c r="D10" s="511"/>
      <c r="E10" s="496"/>
      <c r="F10" s="496"/>
      <c r="G10" s="503"/>
      <c r="H10" s="503"/>
      <c r="I10" s="496"/>
      <c r="J10" s="496"/>
      <c r="K10" s="496"/>
      <c r="L10" s="496"/>
      <c r="M10" s="496"/>
      <c r="N10" s="503"/>
      <c r="O10" s="503"/>
      <c r="P10" s="496"/>
      <c r="Q10" s="496"/>
      <c r="R10" s="506"/>
      <c r="S10" s="509"/>
      <c r="T10" s="509"/>
      <c r="U10" s="509"/>
      <c r="V10" s="509"/>
      <c r="W10" s="509"/>
      <c r="X10" s="499"/>
      <c r="Y10" s="502"/>
      <c r="Z10" s="502"/>
      <c r="AA10" s="502"/>
      <c r="AB10" s="502"/>
      <c r="AC10" s="510"/>
      <c r="AD10" s="503"/>
      <c r="AE10" s="510"/>
      <c r="AF10" s="506"/>
      <c r="AG10" s="344" t="s">
        <v>49</v>
      </c>
      <c r="AH10" s="344" t="s">
        <v>50</v>
      </c>
      <c r="AI10" s="344" t="s">
        <v>51</v>
      </c>
      <c r="AJ10" s="344" t="s">
        <v>52</v>
      </c>
      <c r="AK10" s="344" t="s">
        <v>53</v>
      </c>
      <c r="AL10" s="499"/>
      <c r="AM10" s="427" t="s">
        <v>32</v>
      </c>
      <c r="AN10" s="427" t="s">
        <v>54</v>
      </c>
      <c r="AO10" s="427" t="s">
        <v>34</v>
      </c>
      <c r="AP10" s="427" t="s">
        <v>35</v>
      </c>
      <c r="AQ10" s="496"/>
    </row>
    <row r="11" spans="1:43" ht="28">
      <c r="A11" s="296">
        <v>1</v>
      </c>
      <c r="B11" s="296">
        <v>2</v>
      </c>
      <c r="C11" s="296">
        <v>3</v>
      </c>
      <c r="D11" s="296">
        <v>4</v>
      </c>
      <c r="E11" s="296">
        <v>5</v>
      </c>
      <c r="F11" s="296">
        <v>6</v>
      </c>
      <c r="G11" s="296">
        <v>7</v>
      </c>
      <c r="H11" s="296">
        <v>8</v>
      </c>
      <c r="I11" s="296">
        <v>9</v>
      </c>
      <c r="J11" s="296">
        <v>10</v>
      </c>
      <c r="K11" s="296">
        <v>11</v>
      </c>
      <c r="L11" s="296">
        <v>12</v>
      </c>
      <c r="M11" s="296">
        <v>13</v>
      </c>
      <c r="N11" s="296">
        <v>14</v>
      </c>
      <c r="O11" s="296">
        <v>15</v>
      </c>
      <c r="P11" s="296">
        <v>16</v>
      </c>
      <c r="Q11" s="296">
        <v>17</v>
      </c>
      <c r="R11" s="418" t="s">
        <v>55</v>
      </c>
      <c r="S11" s="418">
        <v>19</v>
      </c>
      <c r="T11" s="418">
        <v>20</v>
      </c>
      <c r="U11" s="418">
        <v>21</v>
      </c>
      <c r="V11" s="418">
        <v>22</v>
      </c>
      <c r="W11" s="418">
        <v>23</v>
      </c>
      <c r="X11" s="419" t="s">
        <v>56</v>
      </c>
      <c r="Y11" s="428">
        <v>25</v>
      </c>
      <c r="Z11" s="428">
        <v>26</v>
      </c>
      <c r="AA11" s="428">
        <v>27</v>
      </c>
      <c r="AB11" s="428">
        <v>28</v>
      </c>
      <c r="AC11" s="296" t="s">
        <v>57</v>
      </c>
      <c r="AD11" s="296">
        <v>30</v>
      </c>
      <c r="AE11" s="296">
        <v>31</v>
      </c>
      <c r="AF11" s="429" t="s">
        <v>58</v>
      </c>
      <c r="AG11" s="418">
        <v>33</v>
      </c>
      <c r="AH11" s="418">
        <v>34</v>
      </c>
      <c r="AI11" s="418">
        <v>35</v>
      </c>
      <c r="AJ11" s="418">
        <v>36</v>
      </c>
      <c r="AK11" s="418">
        <v>37</v>
      </c>
      <c r="AL11" s="433" t="s">
        <v>59</v>
      </c>
      <c r="AM11" s="428">
        <v>39</v>
      </c>
      <c r="AN11" s="428">
        <v>40</v>
      </c>
      <c r="AO11" s="428">
        <v>41</v>
      </c>
      <c r="AP11" s="428">
        <v>42</v>
      </c>
      <c r="AQ11" s="434">
        <v>41</v>
      </c>
    </row>
    <row r="12" spans="1:43" s="293" customFormat="1">
      <c r="A12" s="297"/>
      <c r="B12" s="298"/>
      <c r="C12" s="298"/>
      <c r="D12" s="297"/>
      <c r="E12" s="297" t="s">
        <v>60</v>
      </c>
      <c r="F12" s="299"/>
      <c r="G12" s="298"/>
      <c r="H12" s="298"/>
      <c r="I12" s="298"/>
      <c r="J12" s="297"/>
      <c r="K12" s="297"/>
      <c r="L12" s="297"/>
      <c r="M12" s="298"/>
      <c r="N12" s="298"/>
      <c r="O12" s="298"/>
      <c r="P12" s="297"/>
      <c r="Q12" s="298"/>
      <c r="R12" s="345"/>
      <c r="S12" s="345"/>
      <c r="T12" s="345"/>
      <c r="U12" s="345"/>
      <c r="V12" s="345"/>
      <c r="W12" s="345"/>
      <c r="X12" s="420"/>
      <c r="Y12" s="420"/>
      <c r="Z12" s="420"/>
      <c r="AA12" s="420"/>
      <c r="AB12" s="420"/>
      <c r="AC12" s="298"/>
      <c r="AD12" s="298"/>
      <c r="AE12" s="298"/>
      <c r="AF12" s="345"/>
      <c r="AG12" s="345"/>
      <c r="AH12" s="345"/>
      <c r="AI12" s="345"/>
      <c r="AJ12" s="345"/>
      <c r="AK12" s="345"/>
      <c r="AL12" s="420"/>
      <c r="AM12" s="420"/>
      <c r="AN12" s="420"/>
      <c r="AO12" s="420"/>
      <c r="AP12" s="420"/>
      <c r="AQ12" s="349"/>
    </row>
    <row r="13" spans="1:43" s="293" customFormat="1" ht="60">
      <c r="A13" s="297" t="s">
        <v>61</v>
      </c>
      <c r="B13" s="298"/>
      <c r="C13" s="298"/>
      <c r="D13" s="297"/>
      <c r="E13" s="300" t="s">
        <v>62</v>
      </c>
      <c r="F13" s="299"/>
      <c r="G13" s="298"/>
      <c r="H13" s="298"/>
      <c r="I13" s="298"/>
      <c r="J13" s="297"/>
      <c r="K13" s="297"/>
      <c r="L13" s="297"/>
      <c r="M13" s="298"/>
      <c r="N13" s="298"/>
      <c r="O13" s="298"/>
      <c r="P13" s="297"/>
      <c r="Q13" s="298"/>
      <c r="R13" s="345"/>
      <c r="S13" s="345"/>
      <c r="T13" s="345"/>
      <c r="U13" s="345"/>
      <c r="V13" s="345"/>
      <c r="W13" s="345"/>
      <c r="X13" s="420"/>
      <c r="Y13" s="420"/>
      <c r="Z13" s="420"/>
      <c r="AA13" s="420"/>
      <c r="AB13" s="420"/>
      <c r="AC13" s="298"/>
      <c r="AD13" s="298"/>
      <c r="AE13" s="298"/>
      <c r="AF13" s="345"/>
      <c r="AG13" s="345"/>
      <c r="AH13" s="345"/>
      <c r="AI13" s="345"/>
      <c r="AJ13" s="345"/>
      <c r="AK13" s="345"/>
      <c r="AL13" s="420"/>
      <c r="AM13" s="420"/>
      <c r="AN13" s="420"/>
      <c r="AO13" s="420"/>
      <c r="AP13" s="420"/>
      <c r="AQ13" s="349"/>
    </row>
    <row r="14" spans="1:43" ht="47.25" customHeight="1">
      <c r="A14" s="301"/>
      <c r="B14" s="302" t="s">
        <v>63</v>
      </c>
      <c r="C14" s="302">
        <v>7895798</v>
      </c>
      <c r="D14" s="301"/>
      <c r="E14" s="303" t="s">
        <v>132</v>
      </c>
      <c r="F14" s="304" t="s">
        <v>107</v>
      </c>
      <c r="G14" s="305">
        <v>400000</v>
      </c>
      <c r="H14" s="305">
        <v>400000</v>
      </c>
      <c r="I14" s="301" t="s">
        <v>133</v>
      </c>
      <c r="J14" s="301" t="s">
        <v>109</v>
      </c>
      <c r="K14" s="301">
        <v>2020</v>
      </c>
      <c r="L14" s="301">
        <v>2024</v>
      </c>
      <c r="M14" s="304" t="s">
        <v>110</v>
      </c>
      <c r="N14" s="305">
        <v>400000</v>
      </c>
      <c r="O14" s="305">
        <v>400000</v>
      </c>
      <c r="P14" s="301">
        <v>2019</v>
      </c>
      <c r="Q14" s="305">
        <f t="shared" ref="Q14:AP14" si="0">SUBTOTAL(9,Q16:Q17)</f>
        <v>210000</v>
      </c>
      <c r="R14" s="346">
        <f t="shared" si="0"/>
        <v>210000</v>
      </c>
      <c r="S14" s="346">
        <f t="shared" si="0"/>
        <v>50000</v>
      </c>
      <c r="T14" s="346">
        <f t="shared" si="0"/>
        <v>60000</v>
      </c>
      <c r="U14" s="346">
        <f t="shared" si="0"/>
        <v>50000</v>
      </c>
      <c r="V14" s="346">
        <f t="shared" si="0"/>
        <v>50000</v>
      </c>
      <c r="W14" s="346">
        <f t="shared" si="0"/>
        <v>0</v>
      </c>
      <c r="X14" s="421">
        <f t="shared" si="0"/>
        <v>6000</v>
      </c>
      <c r="Y14" s="421">
        <f t="shared" si="0"/>
        <v>0</v>
      </c>
      <c r="Z14" s="421">
        <f t="shared" si="0"/>
        <v>5000</v>
      </c>
      <c r="AA14" s="421">
        <f t="shared" si="0"/>
        <v>1000</v>
      </c>
      <c r="AB14" s="421">
        <f t="shared" si="0"/>
        <v>0</v>
      </c>
      <c r="AC14" s="305">
        <f t="shared" si="0"/>
        <v>310000</v>
      </c>
      <c r="AD14" s="305">
        <f t="shared" si="0"/>
        <v>100000</v>
      </c>
      <c r="AE14" s="305">
        <f t="shared" si="0"/>
        <v>210000</v>
      </c>
      <c r="AF14" s="346">
        <f t="shared" si="0"/>
        <v>204000</v>
      </c>
      <c r="AG14" s="346">
        <f t="shared" si="0"/>
        <v>50000</v>
      </c>
      <c r="AH14" s="346">
        <f t="shared" si="0"/>
        <v>55000</v>
      </c>
      <c r="AI14" s="346">
        <f t="shared" si="0"/>
        <v>49000</v>
      </c>
      <c r="AJ14" s="346">
        <f t="shared" si="0"/>
        <v>50000</v>
      </c>
      <c r="AK14" s="346">
        <f t="shared" si="0"/>
        <v>0</v>
      </c>
      <c r="AL14" s="421">
        <f t="shared" si="0"/>
        <v>6000</v>
      </c>
      <c r="AM14" s="421">
        <f t="shared" si="0"/>
        <v>0</v>
      </c>
      <c r="AN14" s="421">
        <f t="shared" si="0"/>
        <v>5000</v>
      </c>
      <c r="AO14" s="421">
        <f t="shared" si="0"/>
        <v>1000</v>
      </c>
      <c r="AP14" s="421">
        <f t="shared" si="0"/>
        <v>0</v>
      </c>
      <c r="AQ14" s="349"/>
    </row>
    <row r="15" spans="1:43" s="293" customFormat="1">
      <c r="A15" s="297"/>
      <c r="B15" s="298"/>
      <c r="C15" s="298"/>
      <c r="D15" s="297"/>
      <c r="E15" s="412" t="s">
        <v>67</v>
      </c>
      <c r="F15" s="413"/>
      <c r="G15" s="298"/>
      <c r="H15" s="298"/>
      <c r="I15" s="298"/>
      <c r="J15" s="297"/>
      <c r="K15" s="297"/>
      <c r="L15" s="297"/>
      <c r="M15" s="413"/>
      <c r="N15" s="298"/>
      <c r="O15" s="298"/>
      <c r="P15" s="297"/>
      <c r="Q15" s="298"/>
      <c r="R15" s="345"/>
      <c r="S15" s="345"/>
      <c r="T15" s="345"/>
      <c r="U15" s="345"/>
      <c r="V15" s="345"/>
      <c r="W15" s="345"/>
      <c r="X15" s="420"/>
      <c r="Y15" s="420"/>
      <c r="Z15" s="420"/>
      <c r="AA15" s="420"/>
      <c r="AB15" s="420"/>
      <c r="AC15" s="298"/>
      <c r="AD15" s="298"/>
      <c r="AE15" s="298"/>
      <c r="AF15" s="345"/>
      <c r="AG15" s="345"/>
      <c r="AH15" s="345"/>
      <c r="AI15" s="345"/>
      <c r="AJ15" s="345"/>
      <c r="AK15" s="345"/>
      <c r="AL15" s="420"/>
      <c r="AM15" s="420"/>
      <c r="AN15" s="420"/>
      <c r="AO15" s="420"/>
      <c r="AP15" s="420"/>
      <c r="AQ15" s="349"/>
    </row>
    <row r="16" spans="1:43" s="411" customFormat="1" ht="31">
      <c r="A16" s="414"/>
      <c r="B16" s="415"/>
      <c r="C16" s="415"/>
      <c r="D16" s="414" t="s">
        <v>111</v>
      </c>
      <c r="E16" s="415" t="s">
        <v>112</v>
      </c>
      <c r="F16" s="416"/>
      <c r="G16" s="415"/>
      <c r="H16" s="415"/>
      <c r="I16" s="415"/>
      <c r="J16" s="414"/>
      <c r="K16" s="414"/>
      <c r="L16" s="414"/>
      <c r="M16" s="416"/>
      <c r="N16" s="415"/>
      <c r="O16" s="415"/>
      <c r="P16" s="414"/>
      <c r="Q16" s="422">
        <v>200000</v>
      </c>
      <c r="R16" s="423">
        <f>SUM(S16:W16)</f>
        <v>200000</v>
      </c>
      <c r="S16" s="423">
        <v>50000</v>
      </c>
      <c r="T16" s="423">
        <v>50000</v>
      </c>
      <c r="U16" s="423">
        <v>50000</v>
      </c>
      <c r="V16" s="423">
        <v>50000</v>
      </c>
      <c r="W16" s="424"/>
      <c r="X16" s="425">
        <f>SUM(Y16:AB16)</f>
        <v>6000</v>
      </c>
      <c r="Y16" s="430"/>
      <c r="Z16" s="425">
        <v>5000</v>
      </c>
      <c r="AA16" s="425">
        <v>1000</v>
      </c>
      <c r="AB16" s="430"/>
      <c r="AC16" s="422">
        <f>AD16+AE16</f>
        <v>300000</v>
      </c>
      <c r="AD16" s="422">
        <v>100000</v>
      </c>
      <c r="AE16" s="422">
        <f>AF16+AL16</f>
        <v>200000</v>
      </c>
      <c r="AF16" s="423">
        <f>SUM(AG16:AK16)</f>
        <v>194000</v>
      </c>
      <c r="AG16" s="423">
        <v>50000</v>
      </c>
      <c r="AH16" s="423">
        <v>45000</v>
      </c>
      <c r="AI16" s="423">
        <v>49000</v>
      </c>
      <c r="AJ16" s="423">
        <v>50000</v>
      </c>
      <c r="AK16" s="424"/>
      <c r="AL16" s="425">
        <f>SUM(AM16:AP16)</f>
        <v>6000</v>
      </c>
      <c r="AM16" s="430"/>
      <c r="AN16" s="425">
        <v>5000</v>
      </c>
      <c r="AO16" s="425">
        <v>1000</v>
      </c>
      <c r="AP16" s="430"/>
      <c r="AQ16" s="435"/>
    </row>
    <row r="17" spans="1:43" s="411" customFormat="1" ht="31">
      <c r="A17" s="414"/>
      <c r="B17" s="415"/>
      <c r="C17" s="415"/>
      <c r="D17" s="414" t="s">
        <v>113</v>
      </c>
      <c r="E17" s="417" t="s">
        <v>114</v>
      </c>
      <c r="F17" s="416"/>
      <c r="G17" s="415"/>
      <c r="H17" s="415"/>
      <c r="I17" s="415"/>
      <c r="J17" s="414"/>
      <c r="K17" s="414"/>
      <c r="L17" s="414"/>
      <c r="M17" s="416"/>
      <c r="N17" s="415"/>
      <c r="O17" s="415"/>
      <c r="P17" s="414"/>
      <c r="Q17" s="422">
        <v>10000</v>
      </c>
      <c r="R17" s="423">
        <f>SUM(S17:W17)</f>
        <v>10000</v>
      </c>
      <c r="S17" s="424"/>
      <c r="T17" s="423">
        <v>10000</v>
      </c>
      <c r="U17" s="424"/>
      <c r="V17" s="424"/>
      <c r="W17" s="424"/>
      <c r="X17" s="425">
        <f t="shared" ref="X17:X57" si="1">SUM(Y17:AB17)</f>
        <v>0</v>
      </c>
      <c r="Y17" s="430"/>
      <c r="Z17" s="430"/>
      <c r="AA17" s="430"/>
      <c r="AB17" s="430"/>
      <c r="AC17" s="422">
        <f t="shared" ref="AC17:AC57" si="2">AD17+AE17</f>
        <v>10000</v>
      </c>
      <c r="AD17" s="415"/>
      <c r="AE17" s="422">
        <f t="shared" ref="AE17:AE57" si="3">AF17+AL17</f>
        <v>10000</v>
      </c>
      <c r="AF17" s="423">
        <f t="shared" ref="AF17:AF57" si="4">SUM(AG17:AK17)</f>
        <v>10000</v>
      </c>
      <c r="AG17" s="424"/>
      <c r="AH17" s="423">
        <v>10000</v>
      </c>
      <c r="AI17" s="424"/>
      <c r="AJ17" s="424"/>
      <c r="AK17" s="424"/>
      <c r="AL17" s="425">
        <f t="shared" ref="AL17:AL57" si="5">SUM(AM17:AP17)</f>
        <v>0</v>
      </c>
      <c r="AM17" s="430"/>
      <c r="AN17" s="430"/>
      <c r="AO17" s="430"/>
      <c r="AP17" s="430"/>
      <c r="AQ17" s="435"/>
    </row>
    <row r="18" spans="1:43" s="411" customFormat="1">
      <c r="A18" s="414"/>
      <c r="B18" s="415"/>
      <c r="C18" s="415"/>
      <c r="D18" s="414"/>
      <c r="E18" s="415" t="s">
        <v>119</v>
      </c>
      <c r="F18" s="416"/>
      <c r="G18" s="415"/>
      <c r="H18" s="415"/>
      <c r="I18" s="415"/>
      <c r="J18" s="414"/>
      <c r="K18" s="414"/>
      <c r="L18" s="414"/>
      <c r="M18" s="416"/>
      <c r="N18" s="415"/>
      <c r="O18" s="415"/>
      <c r="P18" s="414"/>
      <c r="Q18" s="422"/>
      <c r="R18" s="423"/>
      <c r="S18" s="424"/>
      <c r="T18" s="424"/>
      <c r="U18" s="424"/>
      <c r="V18" s="423"/>
      <c r="W18" s="424"/>
      <c r="X18" s="425"/>
      <c r="Y18" s="430"/>
      <c r="Z18" s="430"/>
      <c r="AA18" s="430"/>
      <c r="AB18" s="430"/>
      <c r="AC18" s="422"/>
      <c r="AD18" s="415"/>
      <c r="AE18" s="422"/>
      <c r="AF18" s="423"/>
      <c r="AG18" s="424"/>
      <c r="AH18" s="424"/>
      <c r="AI18" s="424"/>
      <c r="AJ18" s="423"/>
      <c r="AK18" s="424"/>
      <c r="AL18" s="425"/>
      <c r="AM18" s="430"/>
      <c r="AN18" s="430"/>
      <c r="AO18" s="430"/>
      <c r="AP18" s="430"/>
      <c r="AQ18" s="435"/>
    </row>
    <row r="19" spans="1:43" ht="67.5" customHeight="1">
      <c r="A19" s="297" t="s">
        <v>75</v>
      </c>
      <c r="B19" s="302"/>
      <c r="C19" s="302"/>
      <c r="D19" s="301"/>
      <c r="E19" s="300" t="s">
        <v>76</v>
      </c>
      <c r="F19" s="304"/>
      <c r="G19" s="302"/>
      <c r="H19" s="302"/>
      <c r="I19" s="302"/>
      <c r="J19" s="301"/>
      <c r="K19" s="301"/>
      <c r="L19" s="301"/>
      <c r="M19" s="304"/>
      <c r="N19" s="302"/>
      <c r="O19" s="302"/>
      <c r="P19" s="301"/>
      <c r="Q19" s="302"/>
      <c r="R19" s="347">
        <f t="shared" ref="R19:R61" si="6">SUM(S19:W19)</f>
        <v>0</v>
      </c>
      <c r="S19" s="348"/>
      <c r="T19" s="348"/>
      <c r="U19" s="348"/>
      <c r="V19" s="348"/>
      <c r="W19" s="348"/>
      <c r="X19" s="426">
        <f t="shared" si="1"/>
        <v>0</v>
      </c>
      <c r="Y19" s="431"/>
      <c r="Z19" s="431"/>
      <c r="AA19" s="431"/>
      <c r="AB19" s="431"/>
      <c r="AC19" s="432">
        <f t="shared" si="2"/>
        <v>0</v>
      </c>
      <c r="AD19" s="302"/>
      <c r="AE19" s="432">
        <f t="shared" si="3"/>
        <v>0</v>
      </c>
      <c r="AF19" s="347">
        <f t="shared" si="4"/>
        <v>0</v>
      </c>
      <c r="AG19" s="348"/>
      <c r="AH19" s="348"/>
      <c r="AI19" s="348"/>
      <c r="AJ19" s="348"/>
      <c r="AK19" s="348"/>
      <c r="AL19" s="426">
        <f t="shared" si="5"/>
        <v>0</v>
      </c>
      <c r="AM19" s="431"/>
      <c r="AN19" s="431"/>
      <c r="AO19" s="431"/>
      <c r="AP19" s="431"/>
      <c r="AQ19" s="349"/>
    </row>
    <row r="20" spans="1:43" ht="52.5" customHeight="1">
      <c r="A20" s="301"/>
      <c r="B20" s="302" t="s">
        <v>63</v>
      </c>
      <c r="C20" s="302">
        <v>7895799</v>
      </c>
      <c r="D20" s="301" t="s">
        <v>111</v>
      </c>
      <c r="E20" s="303" t="s">
        <v>120</v>
      </c>
      <c r="F20" s="304" t="s">
        <v>121</v>
      </c>
      <c r="G20" s="305">
        <v>400000</v>
      </c>
      <c r="H20" s="305">
        <v>200000</v>
      </c>
      <c r="I20" s="301" t="s">
        <v>134</v>
      </c>
      <c r="J20" s="301" t="s">
        <v>123</v>
      </c>
      <c r="K20" s="301">
        <v>2023</v>
      </c>
      <c r="L20" s="301">
        <v>2026</v>
      </c>
      <c r="M20" s="304" t="s">
        <v>124</v>
      </c>
      <c r="N20" s="305">
        <v>400000</v>
      </c>
      <c r="O20" s="305">
        <v>200000</v>
      </c>
      <c r="P20" s="301">
        <v>2023</v>
      </c>
      <c r="Q20" s="305">
        <v>150000</v>
      </c>
      <c r="R20" s="346">
        <f t="shared" si="6"/>
        <v>150000</v>
      </c>
      <c r="S20" s="348"/>
      <c r="T20" s="348"/>
      <c r="U20" s="346">
        <v>20000</v>
      </c>
      <c r="V20" s="346">
        <v>50000</v>
      </c>
      <c r="W20" s="346">
        <v>80000</v>
      </c>
      <c r="X20" s="421">
        <f t="shared" si="1"/>
        <v>2000</v>
      </c>
      <c r="Y20" s="431"/>
      <c r="Z20" s="431"/>
      <c r="AA20" s="421">
        <v>2000</v>
      </c>
      <c r="AB20" s="431"/>
      <c r="AC20" s="305">
        <f t="shared" si="2"/>
        <v>150000</v>
      </c>
      <c r="AD20" s="302"/>
      <c r="AE20" s="305">
        <f t="shared" si="3"/>
        <v>150000</v>
      </c>
      <c r="AF20" s="346">
        <f t="shared" si="4"/>
        <v>148000</v>
      </c>
      <c r="AG20" s="348"/>
      <c r="AH20" s="348"/>
      <c r="AI20" s="346">
        <v>18000</v>
      </c>
      <c r="AJ20" s="346">
        <v>50000</v>
      </c>
      <c r="AK20" s="346">
        <v>80000</v>
      </c>
      <c r="AL20" s="421">
        <f t="shared" si="5"/>
        <v>2000</v>
      </c>
      <c r="AM20" s="431"/>
      <c r="AN20" s="431"/>
      <c r="AO20" s="421">
        <v>2000</v>
      </c>
      <c r="AP20" s="431"/>
      <c r="AQ20" s="349"/>
    </row>
    <row r="21" spans="1:43">
      <c r="A21" s="301"/>
      <c r="B21" s="302"/>
      <c r="C21" s="302"/>
      <c r="D21" s="301"/>
      <c r="E21" s="302" t="s">
        <v>119</v>
      </c>
      <c r="F21" s="304"/>
      <c r="G21" s="302"/>
      <c r="H21" s="302"/>
      <c r="I21" s="302"/>
      <c r="J21" s="301"/>
      <c r="K21" s="301"/>
      <c r="L21" s="301"/>
      <c r="M21" s="304"/>
      <c r="N21" s="302"/>
      <c r="O21" s="302"/>
      <c r="P21" s="301"/>
      <c r="Q21" s="302"/>
      <c r="R21" s="347"/>
      <c r="S21" s="348"/>
      <c r="T21" s="348"/>
      <c r="U21" s="348"/>
      <c r="V21" s="348"/>
      <c r="W21" s="348"/>
      <c r="X21" s="426"/>
      <c r="Y21" s="431"/>
      <c r="Z21" s="431"/>
      <c r="AA21" s="431"/>
      <c r="AB21" s="431"/>
      <c r="AC21" s="432"/>
      <c r="AD21" s="302"/>
      <c r="AE21" s="432"/>
      <c r="AF21" s="347"/>
      <c r="AG21" s="348"/>
      <c r="AH21" s="348"/>
      <c r="AI21" s="348"/>
      <c r="AJ21" s="348"/>
      <c r="AK21" s="348"/>
      <c r="AL21" s="426"/>
      <c r="AM21" s="431"/>
      <c r="AN21" s="431"/>
      <c r="AO21" s="431"/>
      <c r="AP21" s="431"/>
      <c r="AQ21" s="349"/>
    </row>
    <row r="22" spans="1:43" ht="66.75" customHeight="1">
      <c r="A22" s="297" t="s">
        <v>84</v>
      </c>
      <c r="B22" s="302"/>
      <c r="C22" s="302"/>
      <c r="D22" s="301"/>
      <c r="E22" s="300" t="s">
        <v>85</v>
      </c>
      <c r="F22" s="304"/>
      <c r="G22" s="302"/>
      <c r="H22" s="302"/>
      <c r="I22" s="302"/>
      <c r="J22" s="301"/>
      <c r="K22" s="301"/>
      <c r="L22" s="301"/>
      <c r="M22" s="304"/>
      <c r="N22" s="302"/>
      <c r="O22" s="302"/>
      <c r="P22" s="301"/>
      <c r="Q22" s="302"/>
      <c r="R22" s="347">
        <f t="shared" si="6"/>
        <v>0</v>
      </c>
      <c r="S22" s="348"/>
      <c r="T22" s="348"/>
      <c r="U22" s="348"/>
      <c r="V22" s="348"/>
      <c r="W22" s="348"/>
      <c r="X22" s="426">
        <f t="shared" si="1"/>
        <v>0</v>
      </c>
      <c r="Y22" s="431"/>
      <c r="Z22" s="431"/>
      <c r="AA22" s="431"/>
      <c r="AB22" s="431"/>
      <c r="AC22" s="432">
        <f t="shared" si="2"/>
        <v>0</v>
      </c>
      <c r="AD22" s="302"/>
      <c r="AE22" s="432">
        <f t="shared" si="3"/>
        <v>0</v>
      </c>
      <c r="AF22" s="347">
        <f t="shared" si="4"/>
        <v>0</v>
      </c>
      <c r="AG22" s="348"/>
      <c r="AH22" s="348"/>
      <c r="AI22" s="348"/>
      <c r="AJ22" s="348"/>
      <c r="AK22" s="348"/>
      <c r="AL22" s="426">
        <f t="shared" si="5"/>
        <v>0</v>
      </c>
      <c r="AM22" s="431"/>
      <c r="AN22" s="431"/>
      <c r="AO22" s="431"/>
      <c r="AP22" s="431"/>
      <c r="AQ22" s="349"/>
    </row>
    <row r="23" spans="1:43">
      <c r="A23" s="301"/>
      <c r="B23" s="302"/>
      <c r="C23" s="302"/>
      <c r="D23" s="301"/>
      <c r="E23" s="302" t="s">
        <v>125</v>
      </c>
      <c r="F23" s="304"/>
      <c r="G23" s="302"/>
      <c r="H23" s="302"/>
      <c r="I23" s="302"/>
      <c r="J23" s="301"/>
      <c r="K23" s="301"/>
      <c r="L23" s="301"/>
      <c r="M23" s="304"/>
      <c r="N23" s="302"/>
      <c r="O23" s="302"/>
      <c r="P23" s="301"/>
      <c r="Q23" s="302"/>
      <c r="R23" s="347">
        <f t="shared" si="6"/>
        <v>0</v>
      </c>
      <c r="S23" s="348"/>
      <c r="T23" s="348"/>
      <c r="U23" s="348"/>
      <c r="V23" s="348"/>
      <c r="W23" s="348"/>
      <c r="X23" s="426">
        <f t="shared" si="1"/>
        <v>0</v>
      </c>
      <c r="Y23" s="431"/>
      <c r="Z23" s="431"/>
      <c r="AA23" s="431"/>
      <c r="AB23" s="431"/>
      <c r="AC23" s="432">
        <f t="shared" si="2"/>
        <v>0</v>
      </c>
      <c r="AD23" s="302"/>
      <c r="AE23" s="432">
        <f t="shared" si="3"/>
        <v>0</v>
      </c>
      <c r="AF23" s="347">
        <f t="shared" si="4"/>
        <v>0</v>
      </c>
      <c r="AG23" s="348"/>
      <c r="AH23" s="348"/>
      <c r="AI23" s="348"/>
      <c r="AJ23" s="348"/>
      <c r="AK23" s="348"/>
      <c r="AL23" s="426">
        <f t="shared" si="5"/>
        <v>0</v>
      </c>
      <c r="AM23" s="431"/>
      <c r="AN23" s="431"/>
      <c r="AO23" s="431"/>
      <c r="AP23" s="431"/>
      <c r="AQ23" s="349"/>
    </row>
    <row r="24" spans="1:43">
      <c r="A24" s="301"/>
      <c r="B24" s="302"/>
      <c r="C24" s="302"/>
      <c r="D24" s="301"/>
      <c r="E24" s="302" t="s">
        <v>119</v>
      </c>
      <c r="F24" s="304"/>
      <c r="G24" s="302"/>
      <c r="H24" s="302"/>
      <c r="I24" s="302"/>
      <c r="J24" s="301"/>
      <c r="K24" s="301"/>
      <c r="L24" s="301"/>
      <c r="M24" s="304"/>
      <c r="N24" s="302"/>
      <c r="O24" s="302"/>
      <c r="P24" s="301"/>
      <c r="Q24" s="302"/>
      <c r="R24" s="347">
        <f t="shared" si="6"/>
        <v>0</v>
      </c>
      <c r="S24" s="348"/>
      <c r="T24" s="348"/>
      <c r="U24" s="348"/>
      <c r="V24" s="348"/>
      <c r="W24" s="348"/>
      <c r="X24" s="426">
        <f t="shared" si="1"/>
        <v>0</v>
      </c>
      <c r="Y24" s="431"/>
      <c r="Z24" s="431"/>
      <c r="AA24" s="431"/>
      <c r="AB24" s="431"/>
      <c r="AC24" s="432">
        <f t="shared" si="2"/>
        <v>0</v>
      </c>
      <c r="AD24" s="302"/>
      <c r="AE24" s="432">
        <f t="shared" si="3"/>
        <v>0</v>
      </c>
      <c r="AF24" s="347">
        <f t="shared" si="4"/>
        <v>0</v>
      </c>
      <c r="AG24" s="348"/>
      <c r="AH24" s="348"/>
      <c r="AI24" s="348"/>
      <c r="AJ24" s="348"/>
      <c r="AK24" s="348"/>
      <c r="AL24" s="426">
        <f t="shared" si="5"/>
        <v>0</v>
      </c>
      <c r="AM24" s="431"/>
      <c r="AN24" s="431"/>
      <c r="AO24" s="431"/>
      <c r="AP24" s="431"/>
      <c r="AQ24" s="349"/>
    </row>
    <row r="25" spans="1:43" ht="22.5" customHeight="1">
      <c r="A25" s="297" t="s">
        <v>126</v>
      </c>
      <c r="B25" s="302"/>
      <c r="C25" s="302"/>
      <c r="D25" s="301"/>
      <c r="E25" s="300" t="s">
        <v>127</v>
      </c>
      <c r="F25" s="304"/>
      <c r="G25" s="302"/>
      <c r="H25" s="302"/>
      <c r="I25" s="302"/>
      <c r="J25" s="301"/>
      <c r="K25" s="301"/>
      <c r="L25" s="301"/>
      <c r="M25" s="304"/>
      <c r="N25" s="302"/>
      <c r="O25" s="302"/>
      <c r="P25" s="301"/>
      <c r="Q25" s="302"/>
      <c r="R25" s="347">
        <f t="shared" si="6"/>
        <v>0</v>
      </c>
      <c r="S25" s="348"/>
      <c r="T25" s="348"/>
      <c r="U25" s="348"/>
      <c r="V25" s="348"/>
      <c r="W25" s="348"/>
      <c r="X25" s="426">
        <f t="shared" si="1"/>
        <v>0</v>
      </c>
      <c r="Y25" s="431"/>
      <c r="Z25" s="431"/>
      <c r="AA25" s="431"/>
      <c r="AB25" s="431"/>
      <c r="AC25" s="432">
        <f t="shared" si="2"/>
        <v>0</v>
      </c>
      <c r="AD25" s="302"/>
      <c r="AE25" s="432">
        <f t="shared" si="3"/>
        <v>0</v>
      </c>
      <c r="AF25" s="347">
        <f t="shared" si="4"/>
        <v>0</v>
      </c>
      <c r="AG25" s="348"/>
      <c r="AH25" s="348"/>
      <c r="AI25" s="348"/>
      <c r="AJ25" s="348"/>
      <c r="AK25" s="348"/>
      <c r="AL25" s="426">
        <f t="shared" si="5"/>
        <v>0</v>
      </c>
      <c r="AM25" s="431"/>
      <c r="AN25" s="431"/>
      <c r="AO25" s="431"/>
      <c r="AP25" s="431"/>
      <c r="AQ25" s="349"/>
    </row>
    <row r="26" spans="1:43">
      <c r="A26" s="301"/>
      <c r="B26" s="302"/>
      <c r="C26" s="302"/>
      <c r="D26" s="301"/>
      <c r="E26" s="302" t="s">
        <v>125</v>
      </c>
      <c r="F26" s="304"/>
      <c r="G26" s="302"/>
      <c r="H26" s="302"/>
      <c r="I26" s="302"/>
      <c r="J26" s="301"/>
      <c r="K26" s="301"/>
      <c r="L26" s="301"/>
      <c r="M26" s="304"/>
      <c r="N26" s="302"/>
      <c r="O26" s="302"/>
      <c r="P26" s="301"/>
      <c r="Q26" s="302"/>
      <c r="R26" s="347">
        <f t="shared" si="6"/>
        <v>0</v>
      </c>
      <c r="S26" s="348"/>
      <c r="T26" s="348"/>
      <c r="U26" s="348"/>
      <c r="V26" s="348"/>
      <c r="W26" s="348"/>
      <c r="X26" s="426">
        <f t="shared" si="1"/>
        <v>0</v>
      </c>
      <c r="Y26" s="431"/>
      <c r="Z26" s="431"/>
      <c r="AA26" s="431"/>
      <c r="AB26" s="431"/>
      <c r="AC26" s="432">
        <f t="shared" si="2"/>
        <v>0</v>
      </c>
      <c r="AD26" s="302"/>
      <c r="AE26" s="432">
        <f t="shared" si="3"/>
        <v>0</v>
      </c>
      <c r="AF26" s="347">
        <f t="shared" si="4"/>
        <v>0</v>
      </c>
      <c r="AG26" s="348"/>
      <c r="AH26" s="348"/>
      <c r="AI26" s="348"/>
      <c r="AJ26" s="348"/>
      <c r="AK26" s="348"/>
      <c r="AL26" s="426">
        <f t="shared" si="5"/>
        <v>0</v>
      </c>
      <c r="AM26" s="431"/>
      <c r="AN26" s="431"/>
      <c r="AO26" s="431"/>
      <c r="AP26" s="431"/>
      <c r="AQ26" s="349"/>
    </row>
    <row r="27" spans="1:43">
      <c r="A27" s="301"/>
      <c r="B27" s="302"/>
      <c r="C27" s="302"/>
      <c r="D27" s="301"/>
      <c r="E27" s="302" t="s">
        <v>119</v>
      </c>
      <c r="F27" s="304"/>
      <c r="G27" s="302"/>
      <c r="H27" s="302"/>
      <c r="I27" s="302"/>
      <c r="J27" s="301"/>
      <c r="K27" s="301"/>
      <c r="L27" s="301"/>
      <c r="M27" s="304"/>
      <c r="N27" s="302"/>
      <c r="O27" s="302"/>
      <c r="P27" s="301"/>
      <c r="Q27" s="302"/>
      <c r="R27" s="347">
        <f t="shared" si="6"/>
        <v>0</v>
      </c>
      <c r="S27" s="348"/>
      <c r="T27" s="348"/>
      <c r="U27" s="348"/>
      <c r="V27" s="348"/>
      <c r="W27" s="348"/>
      <c r="X27" s="426">
        <f t="shared" si="1"/>
        <v>0</v>
      </c>
      <c r="Y27" s="431"/>
      <c r="Z27" s="431"/>
      <c r="AA27" s="431"/>
      <c r="AB27" s="431"/>
      <c r="AC27" s="432">
        <f t="shared" si="2"/>
        <v>0</v>
      </c>
      <c r="AD27" s="302"/>
      <c r="AE27" s="432">
        <f t="shared" si="3"/>
        <v>0</v>
      </c>
      <c r="AF27" s="347">
        <f t="shared" si="4"/>
        <v>0</v>
      </c>
      <c r="AG27" s="348"/>
      <c r="AH27" s="348"/>
      <c r="AI27" s="348"/>
      <c r="AJ27" s="348"/>
      <c r="AK27" s="348"/>
      <c r="AL27" s="426">
        <f t="shared" si="5"/>
        <v>0</v>
      </c>
      <c r="AM27" s="431"/>
      <c r="AN27" s="431"/>
      <c r="AO27" s="431"/>
      <c r="AP27" s="431"/>
      <c r="AQ27" s="349"/>
    </row>
    <row r="28" spans="1:43">
      <c r="A28" s="301"/>
      <c r="B28" s="302"/>
      <c r="C28" s="302"/>
      <c r="D28" s="301"/>
      <c r="E28" s="302"/>
      <c r="F28" s="304"/>
      <c r="G28" s="302"/>
      <c r="H28" s="302"/>
      <c r="I28" s="302"/>
      <c r="J28" s="301"/>
      <c r="K28" s="301"/>
      <c r="L28" s="301"/>
      <c r="M28" s="304"/>
      <c r="N28" s="302"/>
      <c r="O28" s="302"/>
      <c r="P28" s="301"/>
      <c r="Q28" s="302"/>
      <c r="R28" s="347">
        <f t="shared" si="6"/>
        <v>0</v>
      </c>
      <c r="S28" s="348"/>
      <c r="T28" s="348"/>
      <c r="U28" s="348"/>
      <c r="V28" s="348"/>
      <c r="W28" s="348"/>
      <c r="X28" s="426">
        <f t="shared" si="1"/>
        <v>0</v>
      </c>
      <c r="Y28" s="431"/>
      <c r="Z28" s="431"/>
      <c r="AA28" s="431"/>
      <c r="AB28" s="431"/>
      <c r="AC28" s="432">
        <f t="shared" si="2"/>
        <v>0</v>
      </c>
      <c r="AD28" s="302"/>
      <c r="AE28" s="432">
        <f t="shared" si="3"/>
        <v>0</v>
      </c>
      <c r="AF28" s="347">
        <f t="shared" si="4"/>
        <v>0</v>
      </c>
      <c r="AG28" s="348"/>
      <c r="AH28" s="348"/>
      <c r="AI28" s="348"/>
      <c r="AJ28" s="348"/>
      <c r="AK28" s="348"/>
      <c r="AL28" s="426">
        <f t="shared" si="5"/>
        <v>0</v>
      </c>
      <c r="AM28" s="431"/>
      <c r="AN28" s="431"/>
      <c r="AO28" s="431"/>
      <c r="AP28" s="431"/>
      <c r="AQ28" s="349"/>
    </row>
    <row r="29" spans="1:43">
      <c r="A29" s="301"/>
      <c r="B29" s="302"/>
      <c r="C29" s="302"/>
      <c r="D29" s="301"/>
      <c r="E29" s="302"/>
      <c r="F29" s="304"/>
      <c r="G29" s="302"/>
      <c r="H29" s="302"/>
      <c r="I29" s="302"/>
      <c r="J29" s="301"/>
      <c r="K29" s="301"/>
      <c r="L29" s="301"/>
      <c r="M29" s="304"/>
      <c r="N29" s="302"/>
      <c r="O29" s="302"/>
      <c r="P29" s="301"/>
      <c r="Q29" s="302"/>
      <c r="R29" s="347">
        <f t="shared" si="6"/>
        <v>0</v>
      </c>
      <c r="S29" s="348"/>
      <c r="T29" s="348"/>
      <c r="U29" s="348"/>
      <c r="V29" s="348"/>
      <c r="W29" s="348"/>
      <c r="X29" s="426">
        <f t="shared" si="1"/>
        <v>0</v>
      </c>
      <c r="Y29" s="431"/>
      <c r="Z29" s="431"/>
      <c r="AA29" s="431"/>
      <c r="AB29" s="431"/>
      <c r="AC29" s="432">
        <f t="shared" si="2"/>
        <v>0</v>
      </c>
      <c r="AD29" s="302"/>
      <c r="AE29" s="432">
        <f t="shared" si="3"/>
        <v>0</v>
      </c>
      <c r="AF29" s="347">
        <f t="shared" si="4"/>
        <v>0</v>
      </c>
      <c r="AG29" s="348"/>
      <c r="AH29" s="348"/>
      <c r="AI29" s="348"/>
      <c r="AJ29" s="348"/>
      <c r="AK29" s="348"/>
      <c r="AL29" s="426">
        <f t="shared" si="5"/>
        <v>0</v>
      </c>
      <c r="AM29" s="431"/>
      <c r="AN29" s="431"/>
      <c r="AO29" s="431"/>
      <c r="AP29" s="431"/>
      <c r="AQ29" s="349"/>
    </row>
    <row r="30" spans="1:43">
      <c r="A30" s="301"/>
      <c r="B30" s="302"/>
      <c r="C30" s="302"/>
      <c r="D30" s="301"/>
      <c r="E30" s="302"/>
      <c r="F30" s="304"/>
      <c r="G30" s="302"/>
      <c r="H30" s="302"/>
      <c r="I30" s="302"/>
      <c r="J30" s="301"/>
      <c r="K30" s="301"/>
      <c r="L30" s="301"/>
      <c r="M30" s="304"/>
      <c r="N30" s="302"/>
      <c r="O30" s="302"/>
      <c r="P30" s="301"/>
      <c r="Q30" s="302"/>
      <c r="R30" s="347">
        <f t="shared" si="6"/>
        <v>0</v>
      </c>
      <c r="S30" s="348"/>
      <c r="T30" s="348"/>
      <c r="U30" s="348"/>
      <c r="V30" s="348"/>
      <c r="W30" s="348"/>
      <c r="X30" s="426">
        <f t="shared" si="1"/>
        <v>0</v>
      </c>
      <c r="Y30" s="431"/>
      <c r="Z30" s="431"/>
      <c r="AA30" s="431"/>
      <c r="AB30" s="431"/>
      <c r="AC30" s="432">
        <f t="shared" si="2"/>
        <v>0</v>
      </c>
      <c r="AD30" s="302"/>
      <c r="AE30" s="432">
        <f t="shared" si="3"/>
        <v>0</v>
      </c>
      <c r="AF30" s="347">
        <f t="shared" si="4"/>
        <v>0</v>
      </c>
      <c r="AG30" s="348"/>
      <c r="AH30" s="348"/>
      <c r="AI30" s="348"/>
      <c r="AJ30" s="348"/>
      <c r="AK30" s="348"/>
      <c r="AL30" s="426">
        <f t="shared" si="5"/>
        <v>0</v>
      </c>
      <c r="AM30" s="431"/>
      <c r="AN30" s="431"/>
      <c r="AO30" s="431"/>
      <c r="AP30" s="431"/>
      <c r="AQ30" s="349"/>
    </row>
    <row r="31" spans="1:43">
      <c r="A31" s="301"/>
      <c r="B31" s="302"/>
      <c r="C31" s="302"/>
      <c r="D31" s="301"/>
      <c r="E31" s="302"/>
      <c r="F31" s="304"/>
      <c r="G31" s="302"/>
      <c r="H31" s="302"/>
      <c r="I31" s="302"/>
      <c r="J31" s="301"/>
      <c r="K31" s="301"/>
      <c r="L31" s="301"/>
      <c r="M31" s="304"/>
      <c r="N31" s="302"/>
      <c r="O31" s="302"/>
      <c r="P31" s="301"/>
      <c r="Q31" s="302"/>
      <c r="R31" s="347">
        <f t="shared" si="6"/>
        <v>0</v>
      </c>
      <c r="S31" s="348"/>
      <c r="T31" s="348"/>
      <c r="U31" s="348"/>
      <c r="V31" s="348"/>
      <c r="W31" s="348"/>
      <c r="X31" s="426">
        <f t="shared" si="1"/>
        <v>0</v>
      </c>
      <c r="Y31" s="431"/>
      <c r="Z31" s="431"/>
      <c r="AA31" s="431"/>
      <c r="AB31" s="431"/>
      <c r="AC31" s="432">
        <f t="shared" si="2"/>
        <v>0</v>
      </c>
      <c r="AD31" s="302"/>
      <c r="AE31" s="432">
        <f t="shared" si="3"/>
        <v>0</v>
      </c>
      <c r="AF31" s="347">
        <f t="shared" si="4"/>
        <v>0</v>
      </c>
      <c r="AG31" s="348"/>
      <c r="AH31" s="348"/>
      <c r="AI31" s="348"/>
      <c r="AJ31" s="348"/>
      <c r="AK31" s="348"/>
      <c r="AL31" s="426">
        <f t="shared" si="5"/>
        <v>0</v>
      </c>
      <c r="AM31" s="431"/>
      <c r="AN31" s="431"/>
      <c r="AO31" s="431"/>
      <c r="AP31" s="431"/>
      <c r="AQ31" s="349"/>
    </row>
    <row r="32" spans="1:43">
      <c r="A32" s="301"/>
      <c r="B32" s="302"/>
      <c r="C32" s="302"/>
      <c r="D32" s="301"/>
      <c r="E32" s="302"/>
      <c r="F32" s="304"/>
      <c r="G32" s="302"/>
      <c r="H32" s="302"/>
      <c r="I32" s="302"/>
      <c r="J32" s="301"/>
      <c r="K32" s="301"/>
      <c r="L32" s="301"/>
      <c r="M32" s="304"/>
      <c r="N32" s="302"/>
      <c r="O32" s="302"/>
      <c r="P32" s="301"/>
      <c r="Q32" s="302"/>
      <c r="R32" s="347">
        <f t="shared" si="6"/>
        <v>0</v>
      </c>
      <c r="S32" s="348"/>
      <c r="T32" s="348"/>
      <c r="U32" s="348"/>
      <c r="V32" s="348"/>
      <c r="W32" s="348"/>
      <c r="X32" s="426">
        <f t="shared" si="1"/>
        <v>0</v>
      </c>
      <c r="Y32" s="431"/>
      <c r="Z32" s="431"/>
      <c r="AA32" s="431"/>
      <c r="AB32" s="431"/>
      <c r="AC32" s="432">
        <f t="shared" si="2"/>
        <v>0</v>
      </c>
      <c r="AD32" s="302"/>
      <c r="AE32" s="432">
        <f t="shared" si="3"/>
        <v>0</v>
      </c>
      <c r="AF32" s="347">
        <f t="shared" si="4"/>
        <v>0</v>
      </c>
      <c r="AG32" s="348"/>
      <c r="AH32" s="348"/>
      <c r="AI32" s="348"/>
      <c r="AJ32" s="348"/>
      <c r="AK32" s="348"/>
      <c r="AL32" s="426">
        <f t="shared" si="5"/>
        <v>0</v>
      </c>
      <c r="AM32" s="431"/>
      <c r="AN32" s="431"/>
      <c r="AO32" s="431"/>
      <c r="AP32" s="431"/>
      <c r="AQ32" s="349"/>
    </row>
    <row r="33" spans="1:43">
      <c r="A33" s="301"/>
      <c r="B33" s="302"/>
      <c r="C33" s="302"/>
      <c r="D33" s="301"/>
      <c r="E33" s="302"/>
      <c r="F33" s="304"/>
      <c r="G33" s="302"/>
      <c r="H33" s="302"/>
      <c r="I33" s="302"/>
      <c r="J33" s="301"/>
      <c r="K33" s="301"/>
      <c r="L33" s="301"/>
      <c r="M33" s="304"/>
      <c r="N33" s="302"/>
      <c r="O33" s="302"/>
      <c r="P33" s="301"/>
      <c r="Q33" s="302"/>
      <c r="R33" s="347">
        <f t="shared" si="6"/>
        <v>0</v>
      </c>
      <c r="S33" s="348"/>
      <c r="T33" s="348"/>
      <c r="U33" s="348"/>
      <c r="V33" s="348"/>
      <c r="W33" s="348"/>
      <c r="X33" s="426">
        <f t="shared" si="1"/>
        <v>0</v>
      </c>
      <c r="Y33" s="431"/>
      <c r="Z33" s="431"/>
      <c r="AA33" s="431"/>
      <c r="AB33" s="431"/>
      <c r="AC33" s="432">
        <f t="shared" si="2"/>
        <v>0</v>
      </c>
      <c r="AD33" s="302"/>
      <c r="AE33" s="432">
        <f t="shared" si="3"/>
        <v>0</v>
      </c>
      <c r="AF33" s="347">
        <f t="shared" si="4"/>
        <v>0</v>
      </c>
      <c r="AG33" s="348"/>
      <c r="AH33" s="348"/>
      <c r="AI33" s="348"/>
      <c r="AJ33" s="348"/>
      <c r="AK33" s="348"/>
      <c r="AL33" s="426">
        <f t="shared" si="5"/>
        <v>0</v>
      </c>
      <c r="AM33" s="431"/>
      <c r="AN33" s="431"/>
      <c r="AO33" s="431"/>
      <c r="AP33" s="431"/>
      <c r="AQ33" s="349"/>
    </row>
    <row r="34" spans="1:43">
      <c r="A34" s="301"/>
      <c r="B34" s="302"/>
      <c r="C34" s="302"/>
      <c r="D34" s="301"/>
      <c r="E34" s="302"/>
      <c r="F34" s="304"/>
      <c r="G34" s="302"/>
      <c r="H34" s="302"/>
      <c r="I34" s="302"/>
      <c r="J34" s="301"/>
      <c r="K34" s="301"/>
      <c r="L34" s="301"/>
      <c r="M34" s="304"/>
      <c r="N34" s="302"/>
      <c r="O34" s="302"/>
      <c r="P34" s="301"/>
      <c r="Q34" s="302"/>
      <c r="R34" s="347">
        <f t="shared" si="6"/>
        <v>0</v>
      </c>
      <c r="S34" s="348"/>
      <c r="T34" s="348"/>
      <c r="U34" s="348"/>
      <c r="V34" s="348"/>
      <c r="W34" s="348"/>
      <c r="X34" s="426">
        <f t="shared" si="1"/>
        <v>0</v>
      </c>
      <c r="Y34" s="431"/>
      <c r="Z34" s="431"/>
      <c r="AA34" s="431"/>
      <c r="AB34" s="431"/>
      <c r="AC34" s="432">
        <f t="shared" si="2"/>
        <v>0</v>
      </c>
      <c r="AD34" s="302"/>
      <c r="AE34" s="432">
        <f t="shared" si="3"/>
        <v>0</v>
      </c>
      <c r="AF34" s="347">
        <f t="shared" si="4"/>
        <v>0</v>
      </c>
      <c r="AG34" s="348"/>
      <c r="AH34" s="348"/>
      <c r="AI34" s="348"/>
      <c r="AJ34" s="348"/>
      <c r="AK34" s="348"/>
      <c r="AL34" s="426">
        <f t="shared" si="5"/>
        <v>0</v>
      </c>
      <c r="AM34" s="431"/>
      <c r="AN34" s="431"/>
      <c r="AO34" s="431"/>
      <c r="AP34" s="431"/>
      <c r="AQ34" s="349"/>
    </row>
    <row r="35" spans="1:43">
      <c r="A35" s="301"/>
      <c r="B35" s="302"/>
      <c r="C35" s="302"/>
      <c r="D35" s="301"/>
      <c r="E35" s="302"/>
      <c r="F35" s="304"/>
      <c r="G35" s="302"/>
      <c r="H35" s="302"/>
      <c r="I35" s="302"/>
      <c r="J35" s="301"/>
      <c r="K35" s="301"/>
      <c r="L35" s="301"/>
      <c r="M35" s="304"/>
      <c r="N35" s="302"/>
      <c r="O35" s="302"/>
      <c r="P35" s="301"/>
      <c r="Q35" s="302"/>
      <c r="R35" s="347">
        <f t="shared" si="6"/>
        <v>0</v>
      </c>
      <c r="S35" s="348"/>
      <c r="T35" s="348"/>
      <c r="U35" s="348"/>
      <c r="V35" s="348"/>
      <c r="W35" s="348"/>
      <c r="X35" s="426">
        <f t="shared" si="1"/>
        <v>0</v>
      </c>
      <c r="Y35" s="431"/>
      <c r="Z35" s="431"/>
      <c r="AA35" s="431"/>
      <c r="AB35" s="431"/>
      <c r="AC35" s="432">
        <f t="shared" si="2"/>
        <v>0</v>
      </c>
      <c r="AD35" s="302"/>
      <c r="AE35" s="432">
        <f t="shared" si="3"/>
        <v>0</v>
      </c>
      <c r="AF35" s="347">
        <f t="shared" si="4"/>
        <v>0</v>
      </c>
      <c r="AG35" s="348"/>
      <c r="AH35" s="348"/>
      <c r="AI35" s="348"/>
      <c r="AJ35" s="348"/>
      <c r="AK35" s="348"/>
      <c r="AL35" s="426">
        <f t="shared" si="5"/>
        <v>0</v>
      </c>
      <c r="AM35" s="431"/>
      <c r="AN35" s="431"/>
      <c r="AO35" s="431"/>
      <c r="AP35" s="431"/>
      <c r="AQ35" s="349"/>
    </row>
    <row r="36" spans="1:43">
      <c r="A36" s="301"/>
      <c r="B36" s="302"/>
      <c r="C36" s="302"/>
      <c r="D36" s="301"/>
      <c r="E36" s="302"/>
      <c r="F36" s="304"/>
      <c r="G36" s="302"/>
      <c r="H36" s="302"/>
      <c r="I36" s="302"/>
      <c r="J36" s="301"/>
      <c r="K36" s="301"/>
      <c r="L36" s="301"/>
      <c r="M36" s="304"/>
      <c r="N36" s="302"/>
      <c r="O36" s="302"/>
      <c r="P36" s="301"/>
      <c r="Q36" s="302"/>
      <c r="R36" s="347">
        <f t="shared" si="6"/>
        <v>0</v>
      </c>
      <c r="S36" s="348"/>
      <c r="T36" s="348"/>
      <c r="U36" s="348"/>
      <c r="V36" s="348"/>
      <c r="W36" s="348"/>
      <c r="X36" s="426">
        <f t="shared" si="1"/>
        <v>0</v>
      </c>
      <c r="Y36" s="431"/>
      <c r="Z36" s="431"/>
      <c r="AA36" s="431"/>
      <c r="AB36" s="431"/>
      <c r="AC36" s="432">
        <f t="shared" si="2"/>
        <v>0</v>
      </c>
      <c r="AD36" s="302"/>
      <c r="AE36" s="432">
        <f t="shared" si="3"/>
        <v>0</v>
      </c>
      <c r="AF36" s="347">
        <f t="shared" si="4"/>
        <v>0</v>
      </c>
      <c r="AG36" s="348"/>
      <c r="AH36" s="348"/>
      <c r="AI36" s="348"/>
      <c r="AJ36" s="348"/>
      <c r="AK36" s="348"/>
      <c r="AL36" s="426">
        <f t="shared" si="5"/>
        <v>0</v>
      </c>
      <c r="AM36" s="431"/>
      <c r="AN36" s="431"/>
      <c r="AO36" s="431"/>
      <c r="AP36" s="431"/>
      <c r="AQ36" s="349"/>
    </row>
    <row r="37" spans="1:43">
      <c r="A37" s="301"/>
      <c r="B37" s="302"/>
      <c r="C37" s="302"/>
      <c r="D37" s="301"/>
      <c r="E37" s="302"/>
      <c r="F37" s="304"/>
      <c r="G37" s="302"/>
      <c r="H37" s="302"/>
      <c r="I37" s="302"/>
      <c r="J37" s="301"/>
      <c r="K37" s="301"/>
      <c r="L37" s="301"/>
      <c r="M37" s="304"/>
      <c r="N37" s="302"/>
      <c r="O37" s="302"/>
      <c r="P37" s="301"/>
      <c r="Q37" s="302"/>
      <c r="R37" s="347">
        <f t="shared" si="6"/>
        <v>0</v>
      </c>
      <c r="S37" s="348"/>
      <c r="T37" s="348"/>
      <c r="U37" s="348"/>
      <c r="V37" s="348"/>
      <c r="W37" s="348"/>
      <c r="X37" s="426">
        <f t="shared" si="1"/>
        <v>0</v>
      </c>
      <c r="Y37" s="431"/>
      <c r="Z37" s="431"/>
      <c r="AA37" s="431"/>
      <c r="AB37" s="431"/>
      <c r="AC37" s="432">
        <f t="shared" si="2"/>
        <v>0</v>
      </c>
      <c r="AD37" s="302"/>
      <c r="AE37" s="432">
        <f t="shared" si="3"/>
        <v>0</v>
      </c>
      <c r="AF37" s="347">
        <f t="shared" si="4"/>
        <v>0</v>
      </c>
      <c r="AG37" s="348"/>
      <c r="AH37" s="348"/>
      <c r="AI37" s="348"/>
      <c r="AJ37" s="348"/>
      <c r="AK37" s="348"/>
      <c r="AL37" s="426">
        <f t="shared" si="5"/>
        <v>0</v>
      </c>
      <c r="AM37" s="431"/>
      <c r="AN37" s="431"/>
      <c r="AO37" s="431"/>
      <c r="AP37" s="431"/>
      <c r="AQ37" s="349"/>
    </row>
    <row r="38" spans="1:43">
      <c r="A38" s="301"/>
      <c r="B38" s="302"/>
      <c r="C38" s="302"/>
      <c r="D38" s="301"/>
      <c r="E38" s="302"/>
      <c r="F38" s="304"/>
      <c r="G38" s="302"/>
      <c r="H38" s="302"/>
      <c r="I38" s="302"/>
      <c r="J38" s="301"/>
      <c r="K38" s="301"/>
      <c r="L38" s="301"/>
      <c r="M38" s="304"/>
      <c r="N38" s="302"/>
      <c r="O38" s="302"/>
      <c r="P38" s="301"/>
      <c r="Q38" s="302"/>
      <c r="R38" s="347">
        <f t="shared" si="6"/>
        <v>0</v>
      </c>
      <c r="S38" s="348"/>
      <c r="T38" s="348"/>
      <c r="U38" s="348"/>
      <c r="V38" s="348"/>
      <c r="W38" s="348"/>
      <c r="X38" s="426">
        <f t="shared" si="1"/>
        <v>0</v>
      </c>
      <c r="Y38" s="431"/>
      <c r="Z38" s="431"/>
      <c r="AA38" s="431"/>
      <c r="AB38" s="431"/>
      <c r="AC38" s="432">
        <f t="shared" si="2"/>
        <v>0</v>
      </c>
      <c r="AD38" s="302"/>
      <c r="AE38" s="432">
        <f t="shared" si="3"/>
        <v>0</v>
      </c>
      <c r="AF38" s="347">
        <f t="shared" si="4"/>
        <v>0</v>
      </c>
      <c r="AG38" s="348"/>
      <c r="AH38" s="348"/>
      <c r="AI38" s="348"/>
      <c r="AJ38" s="348"/>
      <c r="AK38" s="348"/>
      <c r="AL38" s="426">
        <f t="shared" si="5"/>
        <v>0</v>
      </c>
      <c r="AM38" s="431"/>
      <c r="AN38" s="431"/>
      <c r="AO38" s="431"/>
      <c r="AP38" s="431"/>
      <c r="AQ38" s="349"/>
    </row>
    <row r="39" spans="1:43">
      <c r="A39" s="301"/>
      <c r="B39" s="302"/>
      <c r="C39" s="302"/>
      <c r="D39" s="301"/>
      <c r="E39" s="302"/>
      <c r="F39" s="304"/>
      <c r="G39" s="302"/>
      <c r="H39" s="302"/>
      <c r="I39" s="302"/>
      <c r="J39" s="301"/>
      <c r="K39" s="301"/>
      <c r="L39" s="301"/>
      <c r="M39" s="304"/>
      <c r="N39" s="302"/>
      <c r="O39" s="302"/>
      <c r="P39" s="301"/>
      <c r="Q39" s="302"/>
      <c r="R39" s="347">
        <f t="shared" si="6"/>
        <v>0</v>
      </c>
      <c r="S39" s="348"/>
      <c r="T39" s="348"/>
      <c r="U39" s="348"/>
      <c r="V39" s="348"/>
      <c r="W39" s="348"/>
      <c r="X39" s="426">
        <f t="shared" si="1"/>
        <v>0</v>
      </c>
      <c r="Y39" s="431"/>
      <c r="Z39" s="431"/>
      <c r="AA39" s="431"/>
      <c r="AB39" s="431"/>
      <c r="AC39" s="432">
        <f t="shared" si="2"/>
        <v>0</v>
      </c>
      <c r="AD39" s="302"/>
      <c r="AE39" s="432">
        <f t="shared" si="3"/>
        <v>0</v>
      </c>
      <c r="AF39" s="347">
        <f t="shared" si="4"/>
        <v>0</v>
      </c>
      <c r="AG39" s="348"/>
      <c r="AH39" s="348"/>
      <c r="AI39" s="348"/>
      <c r="AJ39" s="348"/>
      <c r="AK39" s="348"/>
      <c r="AL39" s="426">
        <f t="shared" si="5"/>
        <v>0</v>
      </c>
      <c r="AM39" s="431"/>
      <c r="AN39" s="431"/>
      <c r="AO39" s="431"/>
      <c r="AP39" s="431"/>
      <c r="AQ39" s="349"/>
    </row>
    <row r="40" spans="1:43">
      <c r="A40" s="301"/>
      <c r="B40" s="302"/>
      <c r="C40" s="302"/>
      <c r="D40" s="301"/>
      <c r="E40" s="302"/>
      <c r="F40" s="304"/>
      <c r="G40" s="302"/>
      <c r="H40" s="302"/>
      <c r="I40" s="302"/>
      <c r="J40" s="301"/>
      <c r="K40" s="301"/>
      <c r="L40" s="301"/>
      <c r="M40" s="304"/>
      <c r="N40" s="302"/>
      <c r="O40" s="302"/>
      <c r="P40" s="301"/>
      <c r="Q40" s="302"/>
      <c r="R40" s="347">
        <f t="shared" si="6"/>
        <v>0</v>
      </c>
      <c r="S40" s="348"/>
      <c r="T40" s="348"/>
      <c r="U40" s="348"/>
      <c r="V40" s="348"/>
      <c r="W40" s="348"/>
      <c r="X40" s="426">
        <f t="shared" si="1"/>
        <v>0</v>
      </c>
      <c r="Y40" s="431"/>
      <c r="Z40" s="431"/>
      <c r="AA40" s="431"/>
      <c r="AB40" s="431"/>
      <c r="AC40" s="432">
        <f t="shared" si="2"/>
        <v>0</v>
      </c>
      <c r="AD40" s="302"/>
      <c r="AE40" s="432">
        <f t="shared" si="3"/>
        <v>0</v>
      </c>
      <c r="AF40" s="347">
        <f t="shared" si="4"/>
        <v>0</v>
      </c>
      <c r="AG40" s="348"/>
      <c r="AH40" s="348"/>
      <c r="AI40" s="348"/>
      <c r="AJ40" s="348"/>
      <c r="AK40" s="348"/>
      <c r="AL40" s="426">
        <f t="shared" si="5"/>
        <v>0</v>
      </c>
      <c r="AM40" s="431"/>
      <c r="AN40" s="431"/>
      <c r="AO40" s="431"/>
      <c r="AP40" s="431"/>
      <c r="AQ40" s="349"/>
    </row>
    <row r="41" spans="1:43">
      <c r="A41" s="301"/>
      <c r="B41" s="302"/>
      <c r="C41" s="302"/>
      <c r="D41" s="301"/>
      <c r="E41" s="302"/>
      <c r="F41" s="304"/>
      <c r="G41" s="302"/>
      <c r="H41" s="302"/>
      <c r="I41" s="302"/>
      <c r="J41" s="301"/>
      <c r="K41" s="301"/>
      <c r="L41" s="301"/>
      <c r="M41" s="304"/>
      <c r="N41" s="302"/>
      <c r="O41" s="302"/>
      <c r="P41" s="301"/>
      <c r="Q41" s="302"/>
      <c r="R41" s="347">
        <f t="shared" si="6"/>
        <v>0</v>
      </c>
      <c r="S41" s="348"/>
      <c r="T41" s="348"/>
      <c r="U41" s="348"/>
      <c r="V41" s="348"/>
      <c r="W41" s="348"/>
      <c r="X41" s="426">
        <f t="shared" si="1"/>
        <v>0</v>
      </c>
      <c r="Y41" s="431"/>
      <c r="Z41" s="431"/>
      <c r="AA41" s="431"/>
      <c r="AB41" s="431"/>
      <c r="AC41" s="432">
        <f t="shared" si="2"/>
        <v>0</v>
      </c>
      <c r="AD41" s="302"/>
      <c r="AE41" s="432">
        <f t="shared" si="3"/>
        <v>0</v>
      </c>
      <c r="AF41" s="347">
        <f t="shared" si="4"/>
        <v>0</v>
      </c>
      <c r="AG41" s="348"/>
      <c r="AH41" s="348"/>
      <c r="AI41" s="348"/>
      <c r="AJ41" s="348"/>
      <c r="AK41" s="348"/>
      <c r="AL41" s="426">
        <f t="shared" si="5"/>
        <v>0</v>
      </c>
      <c r="AM41" s="431"/>
      <c r="AN41" s="431"/>
      <c r="AO41" s="431"/>
      <c r="AP41" s="431"/>
      <c r="AQ41" s="349"/>
    </row>
    <row r="42" spans="1:43">
      <c r="A42" s="301"/>
      <c r="B42" s="302"/>
      <c r="C42" s="302"/>
      <c r="D42" s="301"/>
      <c r="E42" s="302"/>
      <c r="F42" s="304"/>
      <c r="G42" s="302"/>
      <c r="H42" s="302"/>
      <c r="I42" s="302"/>
      <c r="J42" s="301"/>
      <c r="K42" s="301"/>
      <c r="L42" s="301"/>
      <c r="M42" s="304"/>
      <c r="N42" s="302"/>
      <c r="O42" s="302"/>
      <c r="P42" s="301"/>
      <c r="Q42" s="302"/>
      <c r="R42" s="347">
        <f t="shared" si="6"/>
        <v>0</v>
      </c>
      <c r="S42" s="348"/>
      <c r="T42" s="348"/>
      <c r="U42" s="348"/>
      <c r="V42" s="348"/>
      <c r="W42" s="348"/>
      <c r="X42" s="426">
        <f t="shared" si="1"/>
        <v>0</v>
      </c>
      <c r="Y42" s="431"/>
      <c r="Z42" s="431"/>
      <c r="AA42" s="431"/>
      <c r="AB42" s="431"/>
      <c r="AC42" s="432">
        <f t="shared" si="2"/>
        <v>0</v>
      </c>
      <c r="AD42" s="302"/>
      <c r="AE42" s="432">
        <f t="shared" si="3"/>
        <v>0</v>
      </c>
      <c r="AF42" s="347">
        <f t="shared" si="4"/>
        <v>0</v>
      </c>
      <c r="AG42" s="348"/>
      <c r="AH42" s="348"/>
      <c r="AI42" s="348"/>
      <c r="AJ42" s="348"/>
      <c r="AK42" s="348"/>
      <c r="AL42" s="426">
        <f t="shared" si="5"/>
        <v>0</v>
      </c>
      <c r="AM42" s="431"/>
      <c r="AN42" s="431"/>
      <c r="AO42" s="431"/>
      <c r="AP42" s="431"/>
      <c r="AQ42" s="349"/>
    </row>
    <row r="43" spans="1:43">
      <c r="A43" s="301"/>
      <c r="B43" s="302"/>
      <c r="C43" s="302"/>
      <c r="D43" s="301"/>
      <c r="E43" s="302"/>
      <c r="F43" s="304"/>
      <c r="G43" s="302"/>
      <c r="H43" s="302"/>
      <c r="I43" s="302"/>
      <c r="J43" s="301"/>
      <c r="K43" s="301"/>
      <c r="L43" s="301"/>
      <c r="M43" s="304"/>
      <c r="N43" s="302"/>
      <c r="O43" s="302"/>
      <c r="P43" s="301"/>
      <c r="Q43" s="302"/>
      <c r="R43" s="347">
        <f t="shared" si="6"/>
        <v>0</v>
      </c>
      <c r="S43" s="348"/>
      <c r="T43" s="348"/>
      <c r="U43" s="348"/>
      <c r="V43" s="348"/>
      <c r="W43" s="348"/>
      <c r="X43" s="426">
        <f t="shared" si="1"/>
        <v>0</v>
      </c>
      <c r="Y43" s="431"/>
      <c r="Z43" s="431"/>
      <c r="AA43" s="431"/>
      <c r="AB43" s="431"/>
      <c r="AC43" s="432">
        <f t="shared" si="2"/>
        <v>0</v>
      </c>
      <c r="AD43" s="302"/>
      <c r="AE43" s="432">
        <f t="shared" si="3"/>
        <v>0</v>
      </c>
      <c r="AF43" s="347">
        <f t="shared" si="4"/>
        <v>0</v>
      </c>
      <c r="AG43" s="348"/>
      <c r="AH43" s="348"/>
      <c r="AI43" s="348"/>
      <c r="AJ43" s="348"/>
      <c r="AK43" s="348"/>
      <c r="AL43" s="426">
        <f t="shared" si="5"/>
        <v>0</v>
      </c>
      <c r="AM43" s="431"/>
      <c r="AN43" s="431"/>
      <c r="AO43" s="431"/>
      <c r="AP43" s="431"/>
      <c r="AQ43" s="349"/>
    </row>
    <row r="44" spans="1:43">
      <c r="A44" s="301"/>
      <c r="B44" s="302"/>
      <c r="C44" s="302"/>
      <c r="D44" s="301"/>
      <c r="E44" s="302"/>
      <c r="F44" s="304"/>
      <c r="G44" s="302"/>
      <c r="H44" s="302"/>
      <c r="I44" s="302"/>
      <c r="J44" s="301"/>
      <c r="K44" s="301"/>
      <c r="L44" s="301"/>
      <c r="M44" s="304"/>
      <c r="N44" s="302"/>
      <c r="O44" s="302"/>
      <c r="P44" s="301"/>
      <c r="Q44" s="302"/>
      <c r="R44" s="347">
        <f t="shared" si="6"/>
        <v>0</v>
      </c>
      <c r="S44" s="348"/>
      <c r="T44" s="348"/>
      <c r="U44" s="348"/>
      <c r="V44" s="348"/>
      <c r="W44" s="348"/>
      <c r="X44" s="426">
        <f t="shared" si="1"/>
        <v>0</v>
      </c>
      <c r="Y44" s="431"/>
      <c r="Z44" s="431"/>
      <c r="AA44" s="431"/>
      <c r="AB44" s="431"/>
      <c r="AC44" s="432">
        <f t="shared" si="2"/>
        <v>0</v>
      </c>
      <c r="AD44" s="302"/>
      <c r="AE44" s="432">
        <f t="shared" si="3"/>
        <v>0</v>
      </c>
      <c r="AF44" s="347">
        <f t="shared" si="4"/>
        <v>0</v>
      </c>
      <c r="AG44" s="348"/>
      <c r="AH44" s="348"/>
      <c r="AI44" s="348"/>
      <c r="AJ44" s="348"/>
      <c r="AK44" s="348"/>
      <c r="AL44" s="426">
        <f t="shared" si="5"/>
        <v>0</v>
      </c>
      <c r="AM44" s="431"/>
      <c r="AN44" s="431"/>
      <c r="AO44" s="431"/>
      <c r="AP44" s="431"/>
      <c r="AQ44" s="349"/>
    </row>
    <row r="45" spans="1:43">
      <c r="A45" s="301"/>
      <c r="B45" s="302"/>
      <c r="C45" s="302"/>
      <c r="D45" s="301"/>
      <c r="E45" s="302"/>
      <c r="F45" s="304"/>
      <c r="G45" s="302"/>
      <c r="H45" s="302"/>
      <c r="I45" s="302"/>
      <c r="J45" s="301"/>
      <c r="K45" s="301"/>
      <c r="L45" s="301"/>
      <c r="M45" s="304"/>
      <c r="N45" s="302"/>
      <c r="O45" s="302"/>
      <c r="P45" s="301"/>
      <c r="Q45" s="302"/>
      <c r="R45" s="347">
        <f t="shared" si="6"/>
        <v>0</v>
      </c>
      <c r="S45" s="348"/>
      <c r="T45" s="348"/>
      <c r="U45" s="348"/>
      <c r="V45" s="348"/>
      <c r="W45" s="348"/>
      <c r="X45" s="426">
        <f t="shared" si="1"/>
        <v>0</v>
      </c>
      <c r="Y45" s="431"/>
      <c r="Z45" s="431"/>
      <c r="AA45" s="431"/>
      <c r="AB45" s="431"/>
      <c r="AC45" s="432">
        <f t="shared" si="2"/>
        <v>0</v>
      </c>
      <c r="AD45" s="302"/>
      <c r="AE45" s="432">
        <f t="shared" si="3"/>
        <v>0</v>
      </c>
      <c r="AF45" s="347">
        <f t="shared" si="4"/>
        <v>0</v>
      </c>
      <c r="AG45" s="348"/>
      <c r="AH45" s="348"/>
      <c r="AI45" s="348"/>
      <c r="AJ45" s="348"/>
      <c r="AK45" s="348"/>
      <c r="AL45" s="426">
        <f t="shared" si="5"/>
        <v>0</v>
      </c>
      <c r="AM45" s="431"/>
      <c r="AN45" s="431"/>
      <c r="AO45" s="431"/>
      <c r="AP45" s="431"/>
      <c r="AQ45" s="349"/>
    </row>
    <row r="46" spans="1:43">
      <c r="A46" s="301"/>
      <c r="B46" s="302"/>
      <c r="C46" s="302"/>
      <c r="D46" s="301"/>
      <c r="E46" s="302"/>
      <c r="F46" s="304"/>
      <c r="G46" s="302"/>
      <c r="H46" s="302"/>
      <c r="I46" s="302"/>
      <c r="J46" s="301"/>
      <c r="K46" s="301"/>
      <c r="L46" s="301"/>
      <c r="M46" s="304"/>
      <c r="N46" s="302"/>
      <c r="O46" s="302"/>
      <c r="P46" s="301"/>
      <c r="Q46" s="302"/>
      <c r="R46" s="347">
        <f t="shared" si="6"/>
        <v>0</v>
      </c>
      <c r="S46" s="348"/>
      <c r="T46" s="348"/>
      <c r="U46" s="348"/>
      <c r="V46" s="348"/>
      <c r="W46" s="348"/>
      <c r="X46" s="426">
        <f t="shared" si="1"/>
        <v>0</v>
      </c>
      <c r="Y46" s="431"/>
      <c r="Z46" s="431"/>
      <c r="AA46" s="431"/>
      <c r="AB46" s="431"/>
      <c r="AC46" s="432">
        <f t="shared" si="2"/>
        <v>0</v>
      </c>
      <c r="AD46" s="302"/>
      <c r="AE46" s="432">
        <f t="shared" si="3"/>
        <v>0</v>
      </c>
      <c r="AF46" s="347">
        <f t="shared" si="4"/>
        <v>0</v>
      </c>
      <c r="AG46" s="348"/>
      <c r="AH46" s="348"/>
      <c r="AI46" s="348"/>
      <c r="AJ46" s="348"/>
      <c r="AK46" s="348"/>
      <c r="AL46" s="426">
        <f t="shared" si="5"/>
        <v>0</v>
      </c>
      <c r="AM46" s="431"/>
      <c r="AN46" s="431"/>
      <c r="AO46" s="431"/>
      <c r="AP46" s="431"/>
      <c r="AQ46" s="349"/>
    </row>
    <row r="47" spans="1:43">
      <c r="A47" s="301"/>
      <c r="B47" s="302"/>
      <c r="C47" s="302"/>
      <c r="D47" s="301"/>
      <c r="E47" s="302"/>
      <c r="F47" s="304"/>
      <c r="G47" s="302"/>
      <c r="H47" s="302"/>
      <c r="I47" s="302"/>
      <c r="J47" s="301"/>
      <c r="K47" s="301"/>
      <c r="L47" s="301"/>
      <c r="M47" s="304"/>
      <c r="N47" s="302"/>
      <c r="O47" s="302"/>
      <c r="P47" s="301"/>
      <c r="Q47" s="302"/>
      <c r="R47" s="347">
        <f t="shared" si="6"/>
        <v>0</v>
      </c>
      <c r="S47" s="348"/>
      <c r="T47" s="348"/>
      <c r="U47" s="348"/>
      <c r="V47" s="348"/>
      <c r="W47" s="348"/>
      <c r="X47" s="426">
        <f t="shared" si="1"/>
        <v>0</v>
      </c>
      <c r="Y47" s="431"/>
      <c r="Z47" s="431"/>
      <c r="AA47" s="431"/>
      <c r="AB47" s="431"/>
      <c r="AC47" s="432">
        <f t="shared" si="2"/>
        <v>0</v>
      </c>
      <c r="AD47" s="302"/>
      <c r="AE47" s="432">
        <f t="shared" si="3"/>
        <v>0</v>
      </c>
      <c r="AF47" s="347">
        <f t="shared" si="4"/>
        <v>0</v>
      </c>
      <c r="AG47" s="348"/>
      <c r="AH47" s="348"/>
      <c r="AI47" s="348"/>
      <c r="AJ47" s="348"/>
      <c r="AK47" s="348"/>
      <c r="AL47" s="426">
        <f t="shared" si="5"/>
        <v>0</v>
      </c>
      <c r="AM47" s="431"/>
      <c r="AN47" s="431"/>
      <c r="AO47" s="431"/>
      <c r="AP47" s="431"/>
      <c r="AQ47" s="349"/>
    </row>
    <row r="48" spans="1:43">
      <c r="A48" s="301"/>
      <c r="B48" s="302"/>
      <c r="C48" s="302"/>
      <c r="D48" s="301"/>
      <c r="E48" s="302"/>
      <c r="F48" s="304"/>
      <c r="G48" s="302"/>
      <c r="H48" s="302"/>
      <c r="I48" s="302"/>
      <c r="J48" s="301"/>
      <c r="K48" s="301"/>
      <c r="L48" s="301"/>
      <c r="M48" s="304"/>
      <c r="N48" s="302"/>
      <c r="O48" s="302"/>
      <c r="P48" s="301"/>
      <c r="Q48" s="302"/>
      <c r="R48" s="347">
        <f t="shared" si="6"/>
        <v>0</v>
      </c>
      <c r="S48" s="348"/>
      <c r="T48" s="348"/>
      <c r="U48" s="348"/>
      <c r="V48" s="348"/>
      <c r="W48" s="348"/>
      <c r="X48" s="426">
        <f t="shared" si="1"/>
        <v>0</v>
      </c>
      <c r="Y48" s="431"/>
      <c r="Z48" s="431"/>
      <c r="AA48" s="431"/>
      <c r="AB48" s="431"/>
      <c r="AC48" s="432">
        <f t="shared" si="2"/>
        <v>0</v>
      </c>
      <c r="AD48" s="302"/>
      <c r="AE48" s="432">
        <f t="shared" si="3"/>
        <v>0</v>
      </c>
      <c r="AF48" s="347">
        <f t="shared" si="4"/>
        <v>0</v>
      </c>
      <c r="AG48" s="348"/>
      <c r="AH48" s="348"/>
      <c r="AI48" s="348"/>
      <c r="AJ48" s="348"/>
      <c r="AK48" s="348"/>
      <c r="AL48" s="426">
        <f t="shared" si="5"/>
        <v>0</v>
      </c>
      <c r="AM48" s="431"/>
      <c r="AN48" s="431"/>
      <c r="AO48" s="431"/>
      <c r="AP48" s="431"/>
      <c r="AQ48" s="349"/>
    </row>
    <row r="49" spans="1:43">
      <c r="A49" s="301"/>
      <c r="B49" s="302"/>
      <c r="C49" s="302"/>
      <c r="D49" s="301"/>
      <c r="E49" s="302"/>
      <c r="F49" s="304"/>
      <c r="G49" s="302"/>
      <c r="H49" s="302"/>
      <c r="I49" s="302"/>
      <c r="J49" s="301"/>
      <c r="K49" s="301"/>
      <c r="L49" s="301"/>
      <c r="M49" s="304"/>
      <c r="N49" s="302"/>
      <c r="O49" s="302"/>
      <c r="P49" s="301"/>
      <c r="Q49" s="302"/>
      <c r="R49" s="347">
        <f t="shared" si="6"/>
        <v>0</v>
      </c>
      <c r="S49" s="348"/>
      <c r="T49" s="348"/>
      <c r="U49" s="348"/>
      <c r="V49" s="348"/>
      <c r="W49" s="348"/>
      <c r="X49" s="426">
        <f t="shared" si="1"/>
        <v>0</v>
      </c>
      <c r="Y49" s="431"/>
      <c r="Z49" s="431"/>
      <c r="AA49" s="431"/>
      <c r="AB49" s="431"/>
      <c r="AC49" s="432">
        <f t="shared" si="2"/>
        <v>0</v>
      </c>
      <c r="AD49" s="302"/>
      <c r="AE49" s="432">
        <f t="shared" si="3"/>
        <v>0</v>
      </c>
      <c r="AF49" s="347">
        <f t="shared" si="4"/>
        <v>0</v>
      </c>
      <c r="AG49" s="348"/>
      <c r="AH49" s="348"/>
      <c r="AI49" s="348"/>
      <c r="AJ49" s="348"/>
      <c r="AK49" s="348"/>
      <c r="AL49" s="426">
        <f t="shared" si="5"/>
        <v>0</v>
      </c>
      <c r="AM49" s="431"/>
      <c r="AN49" s="431"/>
      <c r="AO49" s="431"/>
      <c r="AP49" s="431"/>
      <c r="AQ49" s="349"/>
    </row>
    <row r="50" spans="1:43">
      <c r="A50" s="301"/>
      <c r="B50" s="302"/>
      <c r="C50" s="302"/>
      <c r="D50" s="301"/>
      <c r="E50" s="302"/>
      <c r="F50" s="304"/>
      <c r="G50" s="302"/>
      <c r="H50" s="302"/>
      <c r="I50" s="302"/>
      <c r="J50" s="301"/>
      <c r="K50" s="301"/>
      <c r="L50" s="301"/>
      <c r="M50" s="304"/>
      <c r="N50" s="302"/>
      <c r="O50" s="302"/>
      <c r="P50" s="301"/>
      <c r="Q50" s="302"/>
      <c r="R50" s="347">
        <f t="shared" si="6"/>
        <v>0</v>
      </c>
      <c r="S50" s="348"/>
      <c r="T50" s="348"/>
      <c r="U50" s="348"/>
      <c r="V50" s="348"/>
      <c r="W50" s="348"/>
      <c r="X50" s="426">
        <f t="shared" si="1"/>
        <v>0</v>
      </c>
      <c r="Y50" s="431"/>
      <c r="Z50" s="431"/>
      <c r="AA50" s="431"/>
      <c r="AB50" s="431"/>
      <c r="AC50" s="432">
        <f t="shared" si="2"/>
        <v>0</v>
      </c>
      <c r="AD50" s="302"/>
      <c r="AE50" s="432">
        <f t="shared" si="3"/>
        <v>0</v>
      </c>
      <c r="AF50" s="347">
        <f t="shared" si="4"/>
        <v>0</v>
      </c>
      <c r="AG50" s="348"/>
      <c r="AH50" s="348"/>
      <c r="AI50" s="348"/>
      <c r="AJ50" s="348"/>
      <c r="AK50" s="348"/>
      <c r="AL50" s="426">
        <f t="shared" si="5"/>
        <v>0</v>
      </c>
      <c r="AM50" s="431"/>
      <c r="AN50" s="431"/>
      <c r="AO50" s="431"/>
      <c r="AP50" s="431"/>
      <c r="AQ50" s="349"/>
    </row>
    <row r="51" spans="1:43">
      <c r="A51" s="301"/>
      <c r="B51" s="302"/>
      <c r="C51" s="302"/>
      <c r="D51" s="301"/>
      <c r="E51" s="302"/>
      <c r="F51" s="304"/>
      <c r="G51" s="302"/>
      <c r="H51" s="302"/>
      <c r="I51" s="302"/>
      <c r="J51" s="301"/>
      <c r="K51" s="301"/>
      <c r="L51" s="301"/>
      <c r="M51" s="304"/>
      <c r="N51" s="302"/>
      <c r="O51" s="302"/>
      <c r="P51" s="301"/>
      <c r="Q51" s="302"/>
      <c r="R51" s="347">
        <f t="shared" si="6"/>
        <v>0</v>
      </c>
      <c r="S51" s="348"/>
      <c r="T51" s="348"/>
      <c r="U51" s="348"/>
      <c r="V51" s="348"/>
      <c r="W51" s="348"/>
      <c r="X51" s="426">
        <f t="shared" si="1"/>
        <v>0</v>
      </c>
      <c r="Y51" s="431"/>
      <c r="Z51" s="431"/>
      <c r="AA51" s="431"/>
      <c r="AB51" s="431"/>
      <c r="AC51" s="432">
        <f t="shared" si="2"/>
        <v>0</v>
      </c>
      <c r="AD51" s="302"/>
      <c r="AE51" s="432">
        <f t="shared" si="3"/>
        <v>0</v>
      </c>
      <c r="AF51" s="347">
        <f t="shared" si="4"/>
        <v>0</v>
      </c>
      <c r="AG51" s="348"/>
      <c r="AH51" s="348"/>
      <c r="AI51" s="348"/>
      <c r="AJ51" s="348"/>
      <c r="AK51" s="348"/>
      <c r="AL51" s="426">
        <f t="shared" si="5"/>
        <v>0</v>
      </c>
      <c r="AM51" s="431"/>
      <c r="AN51" s="431"/>
      <c r="AO51" s="431"/>
      <c r="AP51" s="431"/>
      <c r="AQ51" s="349"/>
    </row>
    <row r="52" spans="1:43">
      <c r="A52" s="301"/>
      <c r="B52" s="302"/>
      <c r="C52" s="302"/>
      <c r="D52" s="301"/>
      <c r="E52" s="302"/>
      <c r="F52" s="304"/>
      <c r="G52" s="302"/>
      <c r="H52" s="302"/>
      <c r="I52" s="302"/>
      <c r="J52" s="301"/>
      <c r="K52" s="301"/>
      <c r="L52" s="301"/>
      <c r="M52" s="304"/>
      <c r="N52" s="302"/>
      <c r="O52" s="302"/>
      <c r="P52" s="301"/>
      <c r="Q52" s="302"/>
      <c r="R52" s="347">
        <f t="shared" si="6"/>
        <v>0</v>
      </c>
      <c r="S52" s="348"/>
      <c r="T52" s="348"/>
      <c r="U52" s="348"/>
      <c r="V52" s="348"/>
      <c r="W52" s="348"/>
      <c r="X52" s="426">
        <f t="shared" si="1"/>
        <v>0</v>
      </c>
      <c r="Y52" s="431"/>
      <c r="Z52" s="431"/>
      <c r="AA52" s="431"/>
      <c r="AB52" s="431"/>
      <c r="AC52" s="432">
        <f t="shared" si="2"/>
        <v>0</v>
      </c>
      <c r="AD52" s="302"/>
      <c r="AE52" s="432">
        <f t="shared" si="3"/>
        <v>0</v>
      </c>
      <c r="AF52" s="347">
        <f t="shared" si="4"/>
        <v>0</v>
      </c>
      <c r="AG52" s="348"/>
      <c r="AH52" s="348"/>
      <c r="AI52" s="348"/>
      <c r="AJ52" s="348"/>
      <c r="AK52" s="348"/>
      <c r="AL52" s="426">
        <f t="shared" si="5"/>
        <v>0</v>
      </c>
      <c r="AM52" s="431"/>
      <c r="AN52" s="431"/>
      <c r="AO52" s="431"/>
      <c r="AP52" s="431"/>
      <c r="AQ52" s="349"/>
    </row>
    <row r="53" spans="1:43">
      <c r="A53" s="301"/>
      <c r="B53" s="302"/>
      <c r="C53" s="302"/>
      <c r="D53" s="301"/>
      <c r="E53" s="302"/>
      <c r="F53" s="304"/>
      <c r="G53" s="302"/>
      <c r="H53" s="302"/>
      <c r="I53" s="302"/>
      <c r="J53" s="301"/>
      <c r="K53" s="301"/>
      <c r="L53" s="301"/>
      <c r="M53" s="304"/>
      <c r="N53" s="302"/>
      <c r="O53" s="302"/>
      <c r="P53" s="301"/>
      <c r="Q53" s="302"/>
      <c r="R53" s="347">
        <f t="shared" si="6"/>
        <v>0</v>
      </c>
      <c r="S53" s="348"/>
      <c r="T53" s="348"/>
      <c r="U53" s="348"/>
      <c r="V53" s="348"/>
      <c r="W53" s="348"/>
      <c r="X53" s="426">
        <f t="shared" si="1"/>
        <v>0</v>
      </c>
      <c r="Y53" s="431"/>
      <c r="Z53" s="431"/>
      <c r="AA53" s="431"/>
      <c r="AB53" s="431"/>
      <c r="AC53" s="432">
        <f t="shared" si="2"/>
        <v>0</v>
      </c>
      <c r="AD53" s="302"/>
      <c r="AE53" s="432">
        <f t="shared" si="3"/>
        <v>0</v>
      </c>
      <c r="AF53" s="347">
        <f t="shared" si="4"/>
        <v>0</v>
      </c>
      <c r="AG53" s="348"/>
      <c r="AH53" s="348"/>
      <c r="AI53" s="348"/>
      <c r="AJ53" s="348"/>
      <c r="AK53" s="348"/>
      <c r="AL53" s="426">
        <f t="shared" si="5"/>
        <v>0</v>
      </c>
      <c r="AM53" s="431"/>
      <c r="AN53" s="431"/>
      <c r="AO53" s="431"/>
      <c r="AP53" s="431"/>
      <c r="AQ53" s="349"/>
    </row>
    <row r="54" spans="1:43">
      <c r="A54" s="301"/>
      <c r="B54" s="302"/>
      <c r="C54" s="302"/>
      <c r="D54" s="301"/>
      <c r="E54" s="302"/>
      <c r="F54" s="304"/>
      <c r="G54" s="302"/>
      <c r="H54" s="302"/>
      <c r="I54" s="302"/>
      <c r="J54" s="301"/>
      <c r="K54" s="301"/>
      <c r="L54" s="301"/>
      <c r="M54" s="304"/>
      <c r="N54" s="302"/>
      <c r="O54" s="302"/>
      <c r="P54" s="301"/>
      <c r="Q54" s="302"/>
      <c r="R54" s="347">
        <f t="shared" si="6"/>
        <v>0</v>
      </c>
      <c r="S54" s="348"/>
      <c r="T54" s="348"/>
      <c r="U54" s="348"/>
      <c r="V54" s="348"/>
      <c r="W54" s="348"/>
      <c r="X54" s="426">
        <f t="shared" si="1"/>
        <v>0</v>
      </c>
      <c r="Y54" s="431"/>
      <c r="Z54" s="431"/>
      <c r="AA54" s="431"/>
      <c r="AB54" s="431"/>
      <c r="AC54" s="432">
        <f t="shared" si="2"/>
        <v>0</v>
      </c>
      <c r="AD54" s="302"/>
      <c r="AE54" s="432">
        <f t="shared" si="3"/>
        <v>0</v>
      </c>
      <c r="AF54" s="347">
        <f t="shared" si="4"/>
        <v>0</v>
      </c>
      <c r="AG54" s="348"/>
      <c r="AH54" s="348"/>
      <c r="AI54" s="348"/>
      <c r="AJ54" s="348"/>
      <c r="AK54" s="348"/>
      <c r="AL54" s="426">
        <f t="shared" si="5"/>
        <v>0</v>
      </c>
      <c r="AM54" s="431"/>
      <c r="AN54" s="431"/>
      <c r="AO54" s="431"/>
      <c r="AP54" s="431"/>
      <c r="AQ54" s="349"/>
    </row>
    <row r="55" spans="1:43">
      <c r="A55" s="301"/>
      <c r="B55" s="302"/>
      <c r="C55" s="302"/>
      <c r="D55" s="301"/>
      <c r="E55" s="302"/>
      <c r="F55" s="304"/>
      <c r="G55" s="302"/>
      <c r="H55" s="302"/>
      <c r="I55" s="302"/>
      <c r="J55" s="301"/>
      <c r="K55" s="301"/>
      <c r="L55" s="301"/>
      <c r="M55" s="304"/>
      <c r="N55" s="302"/>
      <c r="O55" s="302"/>
      <c r="P55" s="301"/>
      <c r="Q55" s="302"/>
      <c r="R55" s="347">
        <f t="shared" si="6"/>
        <v>0</v>
      </c>
      <c r="S55" s="348"/>
      <c r="T55" s="348"/>
      <c r="U55" s="348"/>
      <c r="V55" s="348"/>
      <c r="W55" s="348"/>
      <c r="X55" s="426">
        <f t="shared" si="1"/>
        <v>0</v>
      </c>
      <c r="Y55" s="431"/>
      <c r="Z55" s="431"/>
      <c r="AA55" s="431"/>
      <c r="AB55" s="431"/>
      <c r="AC55" s="432">
        <f t="shared" si="2"/>
        <v>0</v>
      </c>
      <c r="AD55" s="302"/>
      <c r="AE55" s="432">
        <f t="shared" si="3"/>
        <v>0</v>
      </c>
      <c r="AF55" s="347">
        <f t="shared" si="4"/>
        <v>0</v>
      </c>
      <c r="AG55" s="348"/>
      <c r="AH55" s="348"/>
      <c r="AI55" s="348"/>
      <c r="AJ55" s="348"/>
      <c r="AK55" s="348"/>
      <c r="AL55" s="426">
        <f t="shared" si="5"/>
        <v>0</v>
      </c>
      <c r="AM55" s="431"/>
      <c r="AN55" s="431"/>
      <c r="AO55" s="431"/>
      <c r="AP55" s="431"/>
      <c r="AQ55" s="349"/>
    </row>
    <row r="56" spans="1:43">
      <c r="A56" s="301"/>
      <c r="B56" s="302"/>
      <c r="C56" s="302"/>
      <c r="D56" s="301"/>
      <c r="E56" s="302"/>
      <c r="F56" s="304"/>
      <c r="G56" s="302"/>
      <c r="H56" s="302"/>
      <c r="I56" s="302"/>
      <c r="J56" s="301"/>
      <c r="K56" s="301"/>
      <c r="L56" s="301"/>
      <c r="M56" s="304"/>
      <c r="N56" s="302"/>
      <c r="O56" s="302"/>
      <c r="P56" s="301"/>
      <c r="Q56" s="302"/>
      <c r="R56" s="347">
        <f t="shared" si="6"/>
        <v>0</v>
      </c>
      <c r="S56" s="348"/>
      <c r="T56" s="348"/>
      <c r="U56" s="348"/>
      <c r="V56" s="348"/>
      <c r="W56" s="348"/>
      <c r="X56" s="426">
        <f t="shared" si="1"/>
        <v>0</v>
      </c>
      <c r="Y56" s="431"/>
      <c r="Z56" s="431"/>
      <c r="AA56" s="431"/>
      <c r="AB56" s="431"/>
      <c r="AC56" s="432">
        <f t="shared" si="2"/>
        <v>0</v>
      </c>
      <c r="AD56" s="302"/>
      <c r="AE56" s="432">
        <f t="shared" si="3"/>
        <v>0</v>
      </c>
      <c r="AF56" s="347">
        <f t="shared" si="4"/>
        <v>0</v>
      </c>
      <c r="AG56" s="348"/>
      <c r="AH56" s="348"/>
      <c r="AI56" s="348"/>
      <c r="AJ56" s="348"/>
      <c r="AK56" s="348"/>
      <c r="AL56" s="426">
        <f t="shared" si="5"/>
        <v>0</v>
      </c>
      <c r="AM56" s="431"/>
      <c r="AN56" s="431"/>
      <c r="AO56" s="431"/>
      <c r="AP56" s="431"/>
      <c r="AQ56" s="349"/>
    </row>
    <row r="57" spans="1:43">
      <c r="A57" s="301"/>
      <c r="B57" s="302"/>
      <c r="C57" s="302"/>
      <c r="D57" s="301"/>
      <c r="E57" s="302"/>
      <c r="F57" s="304"/>
      <c r="G57" s="302"/>
      <c r="H57" s="302"/>
      <c r="I57" s="302"/>
      <c r="J57" s="301"/>
      <c r="K57" s="301"/>
      <c r="L57" s="301"/>
      <c r="M57" s="304"/>
      <c r="N57" s="302"/>
      <c r="O57" s="302"/>
      <c r="P57" s="301"/>
      <c r="Q57" s="302"/>
      <c r="R57" s="347">
        <f t="shared" si="6"/>
        <v>0</v>
      </c>
      <c r="S57" s="348"/>
      <c r="T57" s="348"/>
      <c r="U57" s="348"/>
      <c r="V57" s="348"/>
      <c r="W57" s="348"/>
      <c r="X57" s="426">
        <f t="shared" si="1"/>
        <v>0</v>
      </c>
      <c r="Y57" s="431"/>
      <c r="Z57" s="431"/>
      <c r="AA57" s="431"/>
      <c r="AB57" s="431"/>
      <c r="AC57" s="432">
        <f t="shared" si="2"/>
        <v>0</v>
      </c>
      <c r="AD57" s="302"/>
      <c r="AE57" s="432">
        <f t="shared" si="3"/>
        <v>0</v>
      </c>
      <c r="AF57" s="347">
        <f t="shared" si="4"/>
        <v>0</v>
      </c>
      <c r="AG57" s="348"/>
      <c r="AH57" s="348"/>
      <c r="AI57" s="348"/>
      <c r="AJ57" s="348"/>
      <c r="AK57" s="348"/>
      <c r="AL57" s="426">
        <f t="shared" si="5"/>
        <v>0</v>
      </c>
      <c r="AM57" s="431"/>
      <c r="AN57" s="431"/>
      <c r="AO57" s="431"/>
      <c r="AP57" s="431"/>
      <c r="AQ57" s="349"/>
    </row>
    <row r="58" spans="1:43">
      <c r="A58" s="301"/>
      <c r="B58" s="302"/>
      <c r="C58" s="302"/>
      <c r="D58" s="301"/>
      <c r="E58" s="302"/>
      <c r="F58" s="304"/>
      <c r="G58" s="302"/>
      <c r="H58" s="302"/>
      <c r="I58" s="302"/>
      <c r="J58" s="301"/>
      <c r="K58" s="301"/>
      <c r="L58" s="301"/>
      <c r="M58" s="304"/>
      <c r="N58" s="302"/>
      <c r="O58" s="302"/>
      <c r="P58" s="301"/>
      <c r="Q58" s="302"/>
      <c r="R58" s="347">
        <f t="shared" si="6"/>
        <v>0</v>
      </c>
      <c r="S58" s="348"/>
      <c r="T58" s="348"/>
      <c r="U58" s="348"/>
      <c r="V58" s="348"/>
      <c r="W58" s="348"/>
      <c r="X58" s="426">
        <f t="shared" ref="X58:X77" si="7">SUM(Y58:AB58)</f>
        <v>0</v>
      </c>
      <c r="Y58" s="431"/>
      <c r="Z58" s="431"/>
      <c r="AA58" s="431"/>
      <c r="AB58" s="431"/>
      <c r="AC58" s="432">
        <f t="shared" ref="AC58:AC77" si="8">AD58+AE58</f>
        <v>0</v>
      </c>
      <c r="AD58" s="302"/>
      <c r="AE58" s="432">
        <f t="shared" ref="AE58:AE77" si="9">AF58+AL58</f>
        <v>0</v>
      </c>
      <c r="AF58" s="347">
        <f t="shared" ref="AF58:AF77" si="10">SUM(AG58:AK58)</f>
        <v>0</v>
      </c>
      <c r="AG58" s="348"/>
      <c r="AH58" s="348"/>
      <c r="AI58" s="348"/>
      <c r="AJ58" s="348"/>
      <c r="AK58" s="348"/>
      <c r="AL58" s="426">
        <f t="shared" ref="AL58:AL77" si="11">SUM(AM58:AP58)</f>
        <v>0</v>
      </c>
      <c r="AM58" s="431"/>
      <c r="AN58" s="431"/>
      <c r="AO58" s="431"/>
      <c r="AP58" s="431"/>
      <c r="AQ58" s="349"/>
    </row>
    <row r="59" spans="1:43">
      <c r="A59" s="301"/>
      <c r="B59" s="302"/>
      <c r="C59" s="302"/>
      <c r="D59" s="301"/>
      <c r="E59" s="302"/>
      <c r="F59" s="304"/>
      <c r="G59" s="302"/>
      <c r="H59" s="302"/>
      <c r="I59" s="302"/>
      <c r="J59" s="301"/>
      <c r="K59" s="301"/>
      <c r="L59" s="301"/>
      <c r="M59" s="304"/>
      <c r="N59" s="302"/>
      <c r="O59" s="302"/>
      <c r="P59" s="301"/>
      <c r="Q59" s="302"/>
      <c r="R59" s="347">
        <f t="shared" si="6"/>
        <v>0</v>
      </c>
      <c r="S59" s="348"/>
      <c r="T59" s="348"/>
      <c r="U59" s="348"/>
      <c r="V59" s="348"/>
      <c r="W59" s="348"/>
      <c r="X59" s="426">
        <f t="shared" si="7"/>
        <v>0</v>
      </c>
      <c r="Y59" s="431"/>
      <c r="Z59" s="431"/>
      <c r="AA59" s="431"/>
      <c r="AB59" s="431"/>
      <c r="AC59" s="432">
        <f t="shared" si="8"/>
        <v>0</v>
      </c>
      <c r="AD59" s="302"/>
      <c r="AE59" s="432">
        <f t="shared" si="9"/>
        <v>0</v>
      </c>
      <c r="AF59" s="347">
        <f t="shared" si="10"/>
        <v>0</v>
      </c>
      <c r="AG59" s="348"/>
      <c r="AH59" s="348"/>
      <c r="AI59" s="348"/>
      <c r="AJ59" s="348"/>
      <c r="AK59" s="348"/>
      <c r="AL59" s="426">
        <f t="shared" si="11"/>
        <v>0</v>
      </c>
      <c r="AM59" s="431"/>
      <c r="AN59" s="431"/>
      <c r="AO59" s="431"/>
      <c r="AP59" s="431"/>
      <c r="AQ59" s="349"/>
    </row>
    <row r="60" spans="1:43">
      <c r="A60" s="301"/>
      <c r="B60" s="302"/>
      <c r="C60" s="302"/>
      <c r="D60" s="301"/>
      <c r="E60" s="302"/>
      <c r="F60" s="304"/>
      <c r="G60" s="302"/>
      <c r="H60" s="302"/>
      <c r="I60" s="302"/>
      <c r="J60" s="301"/>
      <c r="K60" s="301"/>
      <c r="L60" s="301"/>
      <c r="M60" s="304"/>
      <c r="N60" s="302"/>
      <c r="O60" s="302"/>
      <c r="P60" s="301"/>
      <c r="Q60" s="302"/>
      <c r="R60" s="347">
        <f t="shared" si="6"/>
        <v>0</v>
      </c>
      <c r="S60" s="348"/>
      <c r="T60" s="348"/>
      <c r="U60" s="348"/>
      <c r="V60" s="348"/>
      <c r="W60" s="348"/>
      <c r="X60" s="426">
        <f t="shared" si="7"/>
        <v>0</v>
      </c>
      <c r="Y60" s="431"/>
      <c r="Z60" s="431"/>
      <c r="AA60" s="431"/>
      <c r="AB60" s="431"/>
      <c r="AC60" s="432">
        <f t="shared" si="8"/>
        <v>0</v>
      </c>
      <c r="AD60" s="302"/>
      <c r="AE60" s="432">
        <f t="shared" si="9"/>
        <v>0</v>
      </c>
      <c r="AF60" s="347">
        <f t="shared" si="10"/>
        <v>0</v>
      </c>
      <c r="AG60" s="348"/>
      <c r="AH60" s="348"/>
      <c r="AI60" s="348"/>
      <c r="AJ60" s="348"/>
      <c r="AK60" s="348"/>
      <c r="AL60" s="426">
        <f t="shared" si="11"/>
        <v>0</v>
      </c>
      <c r="AM60" s="431"/>
      <c r="AN60" s="431"/>
      <c r="AO60" s="431"/>
      <c r="AP60" s="431"/>
      <c r="AQ60" s="349"/>
    </row>
    <row r="61" spans="1:43">
      <c r="A61" s="301"/>
      <c r="B61" s="302"/>
      <c r="C61" s="302"/>
      <c r="D61" s="301"/>
      <c r="E61" s="302"/>
      <c r="F61" s="304"/>
      <c r="G61" s="302"/>
      <c r="H61" s="302"/>
      <c r="I61" s="302"/>
      <c r="J61" s="301"/>
      <c r="K61" s="301"/>
      <c r="L61" s="301"/>
      <c r="M61" s="304"/>
      <c r="N61" s="302"/>
      <c r="O61" s="302"/>
      <c r="P61" s="301"/>
      <c r="Q61" s="302"/>
      <c r="R61" s="347">
        <f t="shared" si="6"/>
        <v>0</v>
      </c>
      <c r="S61" s="348"/>
      <c r="T61" s="348"/>
      <c r="U61" s="348"/>
      <c r="V61" s="348"/>
      <c r="W61" s="348"/>
      <c r="X61" s="426">
        <f t="shared" si="7"/>
        <v>0</v>
      </c>
      <c r="Y61" s="431"/>
      <c r="Z61" s="431"/>
      <c r="AA61" s="431"/>
      <c r="AB61" s="431"/>
      <c r="AC61" s="432">
        <f t="shared" si="8"/>
        <v>0</v>
      </c>
      <c r="AD61" s="302"/>
      <c r="AE61" s="432">
        <f t="shared" si="9"/>
        <v>0</v>
      </c>
      <c r="AF61" s="347">
        <f t="shared" si="10"/>
        <v>0</v>
      </c>
      <c r="AG61" s="348"/>
      <c r="AH61" s="348"/>
      <c r="AI61" s="348"/>
      <c r="AJ61" s="348"/>
      <c r="AK61" s="348"/>
      <c r="AL61" s="426">
        <f t="shared" si="11"/>
        <v>0</v>
      </c>
      <c r="AM61" s="431"/>
      <c r="AN61" s="431"/>
      <c r="AO61" s="431"/>
      <c r="AP61" s="431"/>
      <c r="AQ61" s="349"/>
    </row>
    <row r="62" spans="1:43">
      <c r="A62" s="301"/>
      <c r="B62" s="302"/>
      <c r="C62" s="302"/>
      <c r="D62" s="301"/>
      <c r="E62" s="302"/>
      <c r="F62" s="304"/>
      <c r="G62" s="302"/>
      <c r="H62" s="302"/>
      <c r="I62" s="302"/>
      <c r="J62" s="301"/>
      <c r="K62" s="301"/>
      <c r="L62" s="301"/>
      <c r="M62" s="304"/>
      <c r="N62" s="302"/>
      <c r="O62" s="302"/>
      <c r="P62" s="301"/>
      <c r="Q62" s="302"/>
      <c r="R62" s="347">
        <f t="shared" ref="R62:R77" si="12">SUM(S62:W62)</f>
        <v>0</v>
      </c>
      <c r="S62" s="348"/>
      <c r="T62" s="348"/>
      <c r="U62" s="348"/>
      <c r="V62" s="348"/>
      <c r="W62" s="348"/>
      <c r="X62" s="426">
        <f t="shared" si="7"/>
        <v>0</v>
      </c>
      <c r="Y62" s="431"/>
      <c r="Z62" s="431"/>
      <c r="AA62" s="431"/>
      <c r="AB62" s="431"/>
      <c r="AC62" s="432">
        <f t="shared" si="8"/>
        <v>0</v>
      </c>
      <c r="AD62" s="302"/>
      <c r="AE62" s="432">
        <f t="shared" si="9"/>
        <v>0</v>
      </c>
      <c r="AF62" s="347">
        <f t="shared" si="10"/>
        <v>0</v>
      </c>
      <c r="AG62" s="348"/>
      <c r="AH62" s="348"/>
      <c r="AI62" s="348"/>
      <c r="AJ62" s="348"/>
      <c r="AK62" s="348"/>
      <c r="AL62" s="426">
        <f t="shared" si="11"/>
        <v>0</v>
      </c>
      <c r="AM62" s="431"/>
      <c r="AN62" s="431"/>
      <c r="AO62" s="431"/>
      <c r="AP62" s="431"/>
      <c r="AQ62" s="349"/>
    </row>
    <row r="63" spans="1:43">
      <c r="A63" s="301"/>
      <c r="B63" s="302"/>
      <c r="C63" s="302"/>
      <c r="D63" s="301"/>
      <c r="E63" s="302"/>
      <c r="F63" s="304"/>
      <c r="G63" s="302"/>
      <c r="H63" s="302"/>
      <c r="I63" s="302"/>
      <c r="J63" s="301"/>
      <c r="K63" s="301"/>
      <c r="L63" s="301"/>
      <c r="M63" s="304"/>
      <c r="N63" s="302"/>
      <c r="O63" s="302"/>
      <c r="P63" s="301"/>
      <c r="Q63" s="302"/>
      <c r="R63" s="347">
        <f t="shared" si="12"/>
        <v>0</v>
      </c>
      <c r="S63" s="348"/>
      <c r="T63" s="348"/>
      <c r="U63" s="348"/>
      <c r="V63" s="348"/>
      <c r="W63" s="348"/>
      <c r="X63" s="426">
        <f t="shared" si="7"/>
        <v>0</v>
      </c>
      <c r="Y63" s="431"/>
      <c r="Z63" s="431"/>
      <c r="AA63" s="431"/>
      <c r="AB63" s="431"/>
      <c r="AC63" s="432">
        <f t="shared" si="8"/>
        <v>0</v>
      </c>
      <c r="AD63" s="302"/>
      <c r="AE63" s="432">
        <f t="shared" si="9"/>
        <v>0</v>
      </c>
      <c r="AF63" s="347">
        <f t="shared" si="10"/>
        <v>0</v>
      </c>
      <c r="AG63" s="348"/>
      <c r="AH63" s="348"/>
      <c r="AI63" s="348"/>
      <c r="AJ63" s="348"/>
      <c r="AK63" s="348"/>
      <c r="AL63" s="426">
        <f t="shared" si="11"/>
        <v>0</v>
      </c>
      <c r="AM63" s="431"/>
      <c r="AN63" s="431"/>
      <c r="AO63" s="431"/>
      <c r="AP63" s="431"/>
      <c r="AQ63" s="349"/>
    </row>
    <row r="64" spans="1:43">
      <c r="A64" s="301"/>
      <c r="B64" s="302"/>
      <c r="C64" s="302"/>
      <c r="D64" s="301"/>
      <c r="E64" s="302"/>
      <c r="F64" s="304"/>
      <c r="G64" s="302"/>
      <c r="H64" s="302"/>
      <c r="I64" s="302"/>
      <c r="J64" s="301"/>
      <c r="K64" s="301"/>
      <c r="L64" s="301"/>
      <c r="M64" s="304"/>
      <c r="N64" s="302"/>
      <c r="O64" s="302"/>
      <c r="P64" s="301"/>
      <c r="Q64" s="302"/>
      <c r="R64" s="347">
        <f t="shared" si="12"/>
        <v>0</v>
      </c>
      <c r="S64" s="348"/>
      <c r="T64" s="348"/>
      <c r="U64" s="348"/>
      <c r="V64" s="348"/>
      <c r="W64" s="348"/>
      <c r="X64" s="426">
        <f t="shared" si="7"/>
        <v>0</v>
      </c>
      <c r="Y64" s="431"/>
      <c r="Z64" s="431"/>
      <c r="AA64" s="431"/>
      <c r="AB64" s="431"/>
      <c r="AC64" s="432">
        <f t="shared" si="8"/>
        <v>0</v>
      </c>
      <c r="AD64" s="302"/>
      <c r="AE64" s="432">
        <f t="shared" si="9"/>
        <v>0</v>
      </c>
      <c r="AF64" s="347">
        <f t="shared" si="10"/>
        <v>0</v>
      </c>
      <c r="AG64" s="348"/>
      <c r="AH64" s="348"/>
      <c r="AI64" s="348"/>
      <c r="AJ64" s="348"/>
      <c r="AK64" s="348"/>
      <c r="AL64" s="426">
        <f t="shared" si="11"/>
        <v>0</v>
      </c>
      <c r="AM64" s="431"/>
      <c r="AN64" s="431"/>
      <c r="AO64" s="431"/>
      <c r="AP64" s="431"/>
      <c r="AQ64" s="349"/>
    </row>
    <row r="65" spans="1:43">
      <c r="A65" s="301"/>
      <c r="B65" s="302"/>
      <c r="C65" s="302"/>
      <c r="D65" s="301"/>
      <c r="E65" s="302"/>
      <c r="F65" s="304"/>
      <c r="G65" s="302"/>
      <c r="H65" s="302"/>
      <c r="I65" s="302"/>
      <c r="J65" s="301"/>
      <c r="K65" s="301"/>
      <c r="L65" s="301"/>
      <c r="M65" s="304"/>
      <c r="N65" s="302"/>
      <c r="O65" s="302"/>
      <c r="P65" s="301"/>
      <c r="Q65" s="302"/>
      <c r="R65" s="347">
        <f t="shared" si="12"/>
        <v>0</v>
      </c>
      <c r="S65" s="348"/>
      <c r="T65" s="348"/>
      <c r="U65" s="348"/>
      <c r="V65" s="348"/>
      <c r="W65" s="348"/>
      <c r="X65" s="426">
        <f t="shared" si="7"/>
        <v>0</v>
      </c>
      <c r="Y65" s="431"/>
      <c r="Z65" s="431"/>
      <c r="AA65" s="431"/>
      <c r="AB65" s="431"/>
      <c r="AC65" s="432">
        <f t="shared" si="8"/>
        <v>0</v>
      </c>
      <c r="AD65" s="302"/>
      <c r="AE65" s="432">
        <f t="shared" si="9"/>
        <v>0</v>
      </c>
      <c r="AF65" s="347">
        <f t="shared" si="10"/>
        <v>0</v>
      </c>
      <c r="AG65" s="348"/>
      <c r="AH65" s="348"/>
      <c r="AI65" s="348"/>
      <c r="AJ65" s="348"/>
      <c r="AK65" s="348"/>
      <c r="AL65" s="426">
        <f t="shared" si="11"/>
        <v>0</v>
      </c>
      <c r="AM65" s="431"/>
      <c r="AN65" s="431"/>
      <c r="AO65" s="431"/>
      <c r="AP65" s="431"/>
      <c r="AQ65" s="349"/>
    </row>
    <row r="66" spans="1:43">
      <c r="A66" s="301"/>
      <c r="B66" s="302"/>
      <c r="C66" s="302"/>
      <c r="D66" s="301"/>
      <c r="E66" s="302"/>
      <c r="F66" s="304"/>
      <c r="G66" s="302"/>
      <c r="H66" s="302"/>
      <c r="I66" s="302"/>
      <c r="J66" s="301"/>
      <c r="K66" s="301"/>
      <c r="L66" s="301"/>
      <c r="M66" s="304"/>
      <c r="N66" s="302"/>
      <c r="O66" s="302"/>
      <c r="P66" s="301"/>
      <c r="Q66" s="302"/>
      <c r="R66" s="347">
        <f t="shared" si="12"/>
        <v>0</v>
      </c>
      <c r="S66" s="348"/>
      <c r="T66" s="348"/>
      <c r="U66" s="348"/>
      <c r="V66" s="348"/>
      <c r="W66" s="348"/>
      <c r="X66" s="426">
        <f t="shared" si="7"/>
        <v>0</v>
      </c>
      <c r="Y66" s="431"/>
      <c r="Z66" s="431"/>
      <c r="AA66" s="431"/>
      <c r="AB66" s="431"/>
      <c r="AC66" s="432">
        <f t="shared" si="8"/>
        <v>0</v>
      </c>
      <c r="AD66" s="302"/>
      <c r="AE66" s="432">
        <f t="shared" si="9"/>
        <v>0</v>
      </c>
      <c r="AF66" s="347">
        <f t="shared" si="10"/>
        <v>0</v>
      </c>
      <c r="AG66" s="348"/>
      <c r="AH66" s="348"/>
      <c r="AI66" s="348"/>
      <c r="AJ66" s="348"/>
      <c r="AK66" s="348"/>
      <c r="AL66" s="426">
        <f t="shared" si="11"/>
        <v>0</v>
      </c>
      <c r="AM66" s="431"/>
      <c r="AN66" s="431"/>
      <c r="AO66" s="431"/>
      <c r="AP66" s="431"/>
      <c r="AQ66" s="349"/>
    </row>
    <row r="67" spans="1:43">
      <c r="A67" s="301"/>
      <c r="B67" s="302"/>
      <c r="C67" s="302"/>
      <c r="D67" s="301"/>
      <c r="E67" s="302"/>
      <c r="F67" s="304"/>
      <c r="G67" s="302"/>
      <c r="H67" s="302"/>
      <c r="I67" s="302"/>
      <c r="J67" s="301"/>
      <c r="K67" s="301"/>
      <c r="L67" s="301"/>
      <c r="M67" s="304"/>
      <c r="N67" s="302"/>
      <c r="O67" s="302"/>
      <c r="P67" s="301"/>
      <c r="Q67" s="302"/>
      <c r="R67" s="347">
        <f t="shared" si="12"/>
        <v>0</v>
      </c>
      <c r="S67" s="348"/>
      <c r="T67" s="348"/>
      <c r="U67" s="348"/>
      <c r="V67" s="348"/>
      <c r="W67" s="348"/>
      <c r="X67" s="426">
        <f t="shared" si="7"/>
        <v>0</v>
      </c>
      <c r="Y67" s="431"/>
      <c r="Z67" s="431"/>
      <c r="AA67" s="431"/>
      <c r="AB67" s="431"/>
      <c r="AC67" s="432">
        <f t="shared" si="8"/>
        <v>0</v>
      </c>
      <c r="AD67" s="302"/>
      <c r="AE67" s="432">
        <f t="shared" si="9"/>
        <v>0</v>
      </c>
      <c r="AF67" s="347">
        <f t="shared" si="10"/>
        <v>0</v>
      </c>
      <c r="AG67" s="348"/>
      <c r="AH67" s="348"/>
      <c r="AI67" s="348"/>
      <c r="AJ67" s="348"/>
      <c r="AK67" s="348"/>
      <c r="AL67" s="426">
        <f t="shared" si="11"/>
        <v>0</v>
      </c>
      <c r="AM67" s="431"/>
      <c r="AN67" s="431"/>
      <c r="AO67" s="431"/>
      <c r="AP67" s="431"/>
      <c r="AQ67" s="349"/>
    </row>
    <row r="68" spans="1:43">
      <c r="A68" s="301"/>
      <c r="B68" s="302"/>
      <c r="C68" s="302"/>
      <c r="D68" s="301"/>
      <c r="E68" s="302"/>
      <c r="F68" s="304"/>
      <c r="G68" s="302"/>
      <c r="H68" s="302"/>
      <c r="I68" s="302"/>
      <c r="J68" s="301"/>
      <c r="K68" s="301"/>
      <c r="L68" s="301"/>
      <c r="M68" s="304"/>
      <c r="N68" s="302"/>
      <c r="O68" s="302"/>
      <c r="P68" s="301"/>
      <c r="Q68" s="302"/>
      <c r="R68" s="347">
        <f t="shared" si="12"/>
        <v>0</v>
      </c>
      <c r="S68" s="348"/>
      <c r="T68" s="348"/>
      <c r="U68" s="348"/>
      <c r="V68" s="348"/>
      <c r="W68" s="348"/>
      <c r="X68" s="426">
        <f t="shared" si="7"/>
        <v>0</v>
      </c>
      <c r="Y68" s="431"/>
      <c r="Z68" s="431"/>
      <c r="AA68" s="431"/>
      <c r="AB68" s="431"/>
      <c r="AC68" s="432">
        <f t="shared" si="8"/>
        <v>0</v>
      </c>
      <c r="AD68" s="302"/>
      <c r="AE68" s="432">
        <f t="shared" si="9"/>
        <v>0</v>
      </c>
      <c r="AF68" s="347">
        <f t="shared" si="10"/>
        <v>0</v>
      </c>
      <c r="AG68" s="348"/>
      <c r="AH68" s="348"/>
      <c r="AI68" s="348"/>
      <c r="AJ68" s="348"/>
      <c r="AK68" s="348"/>
      <c r="AL68" s="426">
        <f t="shared" si="11"/>
        <v>0</v>
      </c>
      <c r="AM68" s="431"/>
      <c r="AN68" s="431"/>
      <c r="AO68" s="431"/>
      <c r="AP68" s="431"/>
      <c r="AQ68" s="349"/>
    </row>
    <row r="69" spans="1:43">
      <c r="A69" s="301"/>
      <c r="B69" s="302"/>
      <c r="C69" s="302"/>
      <c r="D69" s="301"/>
      <c r="E69" s="302"/>
      <c r="F69" s="304"/>
      <c r="G69" s="302"/>
      <c r="H69" s="302"/>
      <c r="I69" s="302"/>
      <c r="J69" s="301"/>
      <c r="K69" s="301"/>
      <c r="L69" s="301"/>
      <c r="M69" s="304"/>
      <c r="N69" s="302"/>
      <c r="O69" s="302"/>
      <c r="P69" s="301"/>
      <c r="Q69" s="302"/>
      <c r="R69" s="347">
        <f t="shared" si="12"/>
        <v>0</v>
      </c>
      <c r="S69" s="348"/>
      <c r="T69" s="348"/>
      <c r="U69" s="348"/>
      <c r="V69" s="348"/>
      <c r="W69" s="348"/>
      <c r="X69" s="426">
        <f t="shared" si="7"/>
        <v>0</v>
      </c>
      <c r="Y69" s="431"/>
      <c r="Z69" s="431"/>
      <c r="AA69" s="431"/>
      <c r="AB69" s="431"/>
      <c r="AC69" s="432">
        <f t="shared" si="8"/>
        <v>0</v>
      </c>
      <c r="AD69" s="302"/>
      <c r="AE69" s="432">
        <f t="shared" si="9"/>
        <v>0</v>
      </c>
      <c r="AF69" s="347">
        <f t="shared" si="10"/>
        <v>0</v>
      </c>
      <c r="AG69" s="348"/>
      <c r="AH69" s="348"/>
      <c r="AI69" s="348"/>
      <c r="AJ69" s="348"/>
      <c r="AK69" s="348"/>
      <c r="AL69" s="426">
        <f t="shared" si="11"/>
        <v>0</v>
      </c>
      <c r="AM69" s="431"/>
      <c r="AN69" s="431"/>
      <c r="AO69" s="431"/>
      <c r="AP69" s="431"/>
      <c r="AQ69" s="349"/>
    </row>
    <row r="70" spans="1:43">
      <c r="A70" s="301"/>
      <c r="B70" s="302"/>
      <c r="C70" s="302"/>
      <c r="D70" s="301"/>
      <c r="E70" s="302"/>
      <c r="F70" s="304"/>
      <c r="G70" s="302"/>
      <c r="H70" s="302"/>
      <c r="I70" s="302"/>
      <c r="J70" s="301"/>
      <c r="K70" s="301"/>
      <c r="L70" s="301"/>
      <c r="M70" s="304"/>
      <c r="N70" s="302"/>
      <c r="O70" s="302"/>
      <c r="P70" s="301"/>
      <c r="Q70" s="302"/>
      <c r="R70" s="347">
        <f t="shared" si="12"/>
        <v>0</v>
      </c>
      <c r="S70" s="348"/>
      <c r="T70" s="348"/>
      <c r="U70" s="348"/>
      <c r="V70" s="348"/>
      <c r="W70" s="348"/>
      <c r="X70" s="426">
        <f t="shared" si="7"/>
        <v>0</v>
      </c>
      <c r="Y70" s="431"/>
      <c r="Z70" s="431"/>
      <c r="AA70" s="431"/>
      <c r="AB70" s="431"/>
      <c r="AC70" s="432">
        <f t="shared" si="8"/>
        <v>0</v>
      </c>
      <c r="AD70" s="302"/>
      <c r="AE70" s="432">
        <f t="shared" si="9"/>
        <v>0</v>
      </c>
      <c r="AF70" s="347">
        <f t="shared" si="10"/>
        <v>0</v>
      </c>
      <c r="AG70" s="348"/>
      <c r="AH70" s="348"/>
      <c r="AI70" s="348"/>
      <c r="AJ70" s="348"/>
      <c r="AK70" s="348"/>
      <c r="AL70" s="426">
        <f t="shared" si="11"/>
        <v>0</v>
      </c>
      <c r="AM70" s="431"/>
      <c r="AN70" s="431"/>
      <c r="AO70" s="431"/>
      <c r="AP70" s="431"/>
      <c r="AQ70" s="349"/>
    </row>
    <row r="71" spans="1:43">
      <c r="A71" s="301"/>
      <c r="B71" s="302"/>
      <c r="C71" s="302"/>
      <c r="D71" s="301"/>
      <c r="E71" s="302"/>
      <c r="F71" s="304"/>
      <c r="G71" s="302"/>
      <c r="H71" s="302"/>
      <c r="I71" s="302"/>
      <c r="J71" s="301"/>
      <c r="K71" s="301"/>
      <c r="L71" s="301"/>
      <c r="M71" s="304"/>
      <c r="N71" s="302"/>
      <c r="O71" s="302"/>
      <c r="P71" s="301"/>
      <c r="Q71" s="302"/>
      <c r="R71" s="347">
        <f t="shared" si="12"/>
        <v>0</v>
      </c>
      <c r="S71" s="348"/>
      <c r="T71" s="348"/>
      <c r="U71" s="348"/>
      <c r="V71" s="348"/>
      <c r="W71" s="348"/>
      <c r="X71" s="426">
        <f t="shared" si="7"/>
        <v>0</v>
      </c>
      <c r="Y71" s="431"/>
      <c r="Z71" s="431"/>
      <c r="AA71" s="431"/>
      <c r="AB71" s="431"/>
      <c r="AC71" s="432">
        <f t="shared" si="8"/>
        <v>0</v>
      </c>
      <c r="AD71" s="302"/>
      <c r="AE71" s="432">
        <f t="shared" si="9"/>
        <v>0</v>
      </c>
      <c r="AF71" s="347">
        <f t="shared" si="10"/>
        <v>0</v>
      </c>
      <c r="AG71" s="348"/>
      <c r="AH71" s="348"/>
      <c r="AI71" s="348"/>
      <c r="AJ71" s="348"/>
      <c r="AK71" s="348"/>
      <c r="AL71" s="426">
        <f t="shared" si="11"/>
        <v>0</v>
      </c>
      <c r="AM71" s="431"/>
      <c r="AN71" s="431"/>
      <c r="AO71" s="431"/>
      <c r="AP71" s="431"/>
      <c r="AQ71" s="349"/>
    </row>
    <row r="72" spans="1:43">
      <c r="A72" s="301"/>
      <c r="B72" s="302"/>
      <c r="C72" s="302"/>
      <c r="D72" s="301"/>
      <c r="E72" s="302"/>
      <c r="F72" s="304"/>
      <c r="G72" s="302"/>
      <c r="H72" s="302"/>
      <c r="I72" s="302"/>
      <c r="J72" s="301"/>
      <c r="K72" s="301"/>
      <c r="L72" s="301"/>
      <c r="M72" s="304"/>
      <c r="N72" s="302"/>
      <c r="O72" s="302"/>
      <c r="P72" s="301"/>
      <c r="Q72" s="302"/>
      <c r="R72" s="347">
        <f t="shared" si="12"/>
        <v>0</v>
      </c>
      <c r="S72" s="348"/>
      <c r="T72" s="348"/>
      <c r="U72" s="348"/>
      <c r="V72" s="348"/>
      <c r="W72" s="348"/>
      <c r="X72" s="426">
        <f t="shared" si="7"/>
        <v>0</v>
      </c>
      <c r="Y72" s="431"/>
      <c r="Z72" s="431"/>
      <c r="AA72" s="431"/>
      <c r="AB72" s="431"/>
      <c r="AC72" s="432">
        <f t="shared" si="8"/>
        <v>0</v>
      </c>
      <c r="AD72" s="302"/>
      <c r="AE72" s="432">
        <f t="shared" si="9"/>
        <v>0</v>
      </c>
      <c r="AF72" s="347">
        <f t="shared" si="10"/>
        <v>0</v>
      </c>
      <c r="AG72" s="348"/>
      <c r="AH72" s="348"/>
      <c r="AI72" s="348"/>
      <c r="AJ72" s="348"/>
      <c r="AK72" s="348"/>
      <c r="AL72" s="426">
        <f t="shared" si="11"/>
        <v>0</v>
      </c>
      <c r="AM72" s="431"/>
      <c r="AN72" s="431"/>
      <c r="AO72" s="431"/>
      <c r="AP72" s="431"/>
      <c r="AQ72" s="349"/>
    </row>
    <row r="73" spans="1:43">
      <c r="A73" s="301"/>
      <c r="B73" s="302"/>
      <c r="C73" s="302"/>
      <c r="D73" s="301"/>
      <c r="E73" s="302"/>
      <c r="F73" s="304"/>
      <c r="G73" s="302"/>
      <c r="H73" s="302"/>
      <c r="I73" s="302"/>
      <c r="J73" s="301"/>
      <c r="K73" s="301"/>
      <c r="L73" s="301"/>
      <c r="M73" s="304"/>
      <c r="N73" s="302"/>
      <c r="O73" s="302"/>
      <c r="P73" s="301"/>
      <c r="Q73" s="302"/>
      <c r="R73" s="347">
        <f t="shared" si="12"/>
        <v>0</v>
      </c>
      <c r="S73" s="348"/>
      <c r="T73" s="348"/>
      <c r="U73" s="348"/>
      <c r="V73" s="348"/>
      <c r="W73" s="348"/>
      <c r="X73" s="426">
        <f t="shared" si="7"/>
        <v>0</v>
      </c>
      <c r="Y73" s="431"/>
      <c r="Z73" s="431"/>
      <c r="AA73" s="431"/>
      <c r="AB73" s="431"/>
      <c r="AC73" s="432">
        <f t="shared" si="8"/>
        <v>0</v>
      </c>
      <c r="AD73" s="302"/>
      <c r="AE73" s="432">
        <f t="shared" si="9"/>
        <v>0</v>
      </c>
      <c r="AF73" s="347">
        <f t="shared" si="10"/>
        <v>0</v>
      </c>
      <c r="AG73" s="348"/>
      <c r="AH73" s="348"/>
      <c r="AI73" s="348"/>
      <c r="AJ73" s="348"/>
      <c r="AK73" s="348"/>
      <c r="AL73" s="426">
        <f t="shared" si="11"/>
        <v>0</v>
      </c>
      <c r="AM73" s="431"/>
      <c r="AN73" s="431"/>
      <c r="AO73" s="431"/>
      <c r="AP73" s="431"/>
      <c r="AQ73" s="349"/>
    </row>
    <row r="74" spans="1:43">
      <c r="A74" s="301"/>
      <c r="B74" s="302"/>
      <c r="C74" s="302"/>
      <c r="D74" s="301"/>
      <c r="E74" s="302"/>
      <c r="F74" s="304"/>
      <c r="G74" s="302"/>
      <c r="H74" s="302"/>
      <c r="I74" s="302"/>
      <c r="J74" s="301"/>
      <c r="K74" s="301"/>
      <c r="L74" s="301"/>
      <c r="M74" s="304"/>
      <c r="N74" s="302"/>
      <c r="O74" s="302"/>
      <c r="P74" s="301"/>
      <c r="Q74" s="302"/>
      <c r="R74" s="347">
        <f t="shared" si="12"/>
        <v>0</v>
      </c>
      <c r="S74" s="348"/>
      <c r="T74" s="348"/>
      <c r="U74" s="348"/>
      <c r="V74" s="348"/>
      <c r="W74" s="348"/>
      <c r="X74" s="426">
        <f t="shared" si="7"/>
        <v>0</v>
      </c>
      <c r="Y74" s="431"/>
      <c r="Z74" s="431"/>
      <c r="AA74" s="431"/>
      <c r="AB74" s="431"/>
      <c r="AC74" s="432">
        <f t="shared" si="8"/>
        <v>0</v>
      </c>
      <c r="AD74" s="302"/>
      <c r="AE74" s="432">
        <f t="shared" si="9"/>
        <v>0</v>
      </c>
      <c r="AF74" s="347">
        <f t="shared" si="10"/>
        <v>0</v>
      </c>
      <c r="AG74" s="348"/>
      <c r="AH74" s="348"/>
      <c r="AI74" s="348"/>
      <c r="AJ74" s="348"/>
      <c r="AK74" s="348"/>
      <c r="AL74" s="426">
        <f t="shared" si="11"/>
        <v>0</v>
      </c>
      <c r="AM74" s="431"/>
      <c r="AN74" s="431"/>
      <c r="AO74" s="431"/>
      <c r="AP74" s="431"/>
      <c r="AQ74" s="349"/>
    </row>
    <row r="75" spans="1:43">
      <c r="A75" s="301"/>
      <c r="B75" s="302"/>
      <c r="C75" s="302"/>
      <c r="D75" s="301"/>
      <c r="E75" s="302"/>
      <c r="F75" s="304"/>
      <c r="G75" s="302"/>
      <c r="H75" s="302"/>
      <c r="I75" s="302"/>
      <c r="J75" s="301"/>
      <c r="K75" s="301"/>
      <c r="L75" s="301"/>
      <c r="M75" s="304"/>
      <c r="N75" s="302"/>
      <c r="O75" s="302"/>
      <c r="P75" s="301"/>
      <c r="Q75" s="302"/>
      <c r="R75" s="347">
        <f t="shared" si="12"/>
        <v>0</v>
      </c>
      <c r="S75" s="348"/>
      <c r="T75" s="348"/>
      <c r="U75" s="348"/>
      <c r="V75" s="348"/>
      <c r="W75" s="348"/>
      <c r="X75" s="426">
        <f t="shared" si="7"/>
        <v>0</v>
      </c>
      <c r="Y75" s="431"/>
      <c r="Z75" s="431"/>
      <c r="AA75" s="431"/>
      <c r="AB75" s="431"/>
      <c r="AC75" s="432">
        <f t="shared" si="8"/>
        <v>0</v>
      </c>
      <c r="AD75" s="302"/>
      <c r="AE75" s="432">
        <f t="shared" si="9"/>
        <v>0</v>
      </c>
      <c r="AF75" s="347">
        <f t="shared" si="10"/>
        <v>0</v>
      </c>
      <c r="AG75" s="348"/>
      <c r="AH75" s="348"/>
      <c r="AI75" s="348"/>
      <c r="AJ75" s="348"/>
      <c r="AK75" s="348"/>
      <c r="AL75" s="426">
        <f t="shared" si="11"/>
        <v>0</v>
      </c>
      <c r="AM75" s="431"/>
      <c r="AN75" s="431"/>
      <c r="AO75" s="431"/>
      <c r="AP75" s="431"/>
      <c r="AQ75" s="349"/>
    </row>
    <row r="76" spans="1:43">
      <c r="A76" s="301"/>
      <c r="B76" s="302"/>
      <c r="C76" s="302"/>
      <c r="D76" s="301"/>
      <c r="E76" s="302"/>
      <c r="F76" s="304"/>
      <c r="G76" s="302"/>
      <c r="H76" s="302"/>
      <c r="I76" s="302"/>
      <c r="J76" s="301"/>
      <c r="K76" s="301"/>
      <c r="L76" s="301"/>
      <c r="M76" s="304"/>
      <c r="N76" s="302"/>
      <c r="O76" s="302"/>
      <c r="P76" s="301"/>
      <c r="Q76" s="302"/>
      <c r="R76" s="347">
        <f t="shared" si="12"/>
        <v>0</v>
      </c>
      <c r="S76" s="348"/>
      <c r="T76" s="348"/>
      <c r="U76" s="348"/>
      <c r="V76" s="348"/>
      <c r="W76" s="348"/>
      <c r="X76" s="426">
        <f t="shared" si="7"/>
        <v>0</v>
      </c>
      <c r="Y76" s="431"/>
      <c r="Z76" s="431"/>
      <c r="AA76" s="431"/>
      <c r="AB76" s="431"/>
      <c r="AC76" s="432">
        <f t="shared" si="8"/>
        <v>0</v>
      </c>
      <c r="AD76" s="302"/>
      <c r="AE76" s="432">
        <f t="shared" si="9"/>
        <v>0</v>
      </c>
      <c r="AF76" s="347">
        <f t="shared" si="10"/>
        <v>0</v>
      </c>
      <c r="AG76" s="348"/>
      <c r="AH76" s="348"/>
      <c r="AI76" s="348"/>
      <c r="AJ76" s="348"/>
      <c r="AK76" s="348"/>
      <c r="AL76" s="426">
        <f t="shared" si="11"/>
        <v>0</v>
      </c>
      <c r="AM76" s="431"/>
      <c r="AN76" s="431"/>
      <c r="AO76" s="431"/>
      <c r="AP76" s="431"/>
      <c r="AQ76" s="349"/>
    </row>
    <row r="77" spans="1:43">
      <c r="A77" s="301"/>
      <c r="B77" s="302"/>
      <c r="C77" s="302"/>
      <c r="D77" s="301"/>
      <c r="E77" s="302"/>
      <c r="F77" s="304"/>
      <c r="G77" s="302"/>
      <c r="H77" s="302"/>
      <c r="I77" s="302"/>
      <c r="J77" s="301"/>
      <c r="K77" s="301"/>
      <c r="L77" s="301"/>
      <c r="M77" s="304"/>
      <c r="N77" s="302"/>
      <c r="O77" s="302"/>
      <c r="P77" s="301"/>
      <c r="Q77" s="302"/>
      <c r="R77" s="347">
        <f t="shared" si="12"/>
        <v>0</v>
      </c>
      <c r="S77" s="348"/>
      <c r="T77" s="348"/>
      <c r="U77" s="348"/>
      <c r="V77" s="348"/>
      <c r="W77" s="348"/>
      <c r="X77" s="426">
        <f t="shared" si="7"/>
        <v>0</v>
      </c>
      <c r="Y77" s="431"/>
      <c r="Z77" s="431"/>
      <c r="AA77" s="431"/>
      <c r="AB77" s="431"/>
      <c r="AC77" s="432">
        <f t="shared" si="8"/>
        <v>0</v>
      </c>
      <c r="AD77" s="302"/>
      <c r="AE77" s="432">
        <f t="shared" si="9"/>
        <v>0</v>
      </c>
      <c r="AF77" s="347">
        <f t="shared" si="10"/>
        <v>0</v>
      </c>
      <c r="AG77" s="348"/>
      <c r="AH77" s="348"/>
      <c r="AI77" s="348"/>
      <c r="AJ77" s="348"/>
      <c r="AK77" s="348"/>
      <c r="AL77" s="426">
        <f t="shared" si="11"/>
        <v>0</v>
      </c>
      <c r="AM77" s="431"/>
      <c r="AN77" s="431"/>
      <c r="AO77" s="431"/>
      <c r="AP77" s="431"/>
      <c r="AQ77" s="349"/>
    </row>
  </sheetData>
  <mergeCells count="55">
    <mergeCell ref="K7:K10"/>
    <mergeCell ref="L7:L10"/>
    <mergeCell ref="F6:F10"/>
    <mergeCell ref="G7:G10"/>
    <mergeCell ref="H7:H10"/>
    <mergeCell ref="I6:I10"/>
    <mergeCell ref="J6:J10"/>
    <mergeCell ref="G6:H6"/>
    <mergeCell ref="K6:L6"/>
    <mergeCell ref="A4:A10"/>
    <mergeCell ref="B4:B10"/>
    <mergeCell ref="C4:C10"/>
    <mergeCell ref="D4:D10"/>
    <mergeCell ref="E4:E10"/>
    <mergeCell ref="V6:V10"/>
    <mergeCell ref="W6:W10"/>
    <mergeCell ref="AF8:AK8"/>
    <mergeCell ref="AL8:AP8"/>
    <mergeCell ref="AG9:AK9"/>
    <mergeCell ref="AM9:AP9"/>
    <mergeCell ref="AF9:AF10"/>
    <mergeCell ref="AL9:AL10"/>
    <mergeCell ref="AE7:AE10"/>
    <mergeCell ref="N6:O6"/>
    <mergeCell ref="AE6:AP6"/>
    <mergeCell ref="AF7:AP7"/>
    <mergeCell ref="M6:M10"/>
    <mergeCell ref="N7:N10"/>
    <mergeCell ref="O7:O10"/>
    <mergeCell ref="P4:P10"/>
    <mergeCell ref="Q4:Q10"/>
    <mergeCell ref="R5:R10"/>
    <mergeCell ref="S6:S10"/>
    <mergeCell ref="T6:T10"/>
    <mergeCell ref="U6:U10"/>
    <mergeCell ref="AA6:AA10"/>
    <mergeCell ref="AB6:AB10"/>
    <mergeCell ref="AC5:AC10"/>
    <mergeCell ref="AD6:AD10"/>
    <mergeCell ref="A1:AQ1"/>
    <mergeCell ref="A2:AQ2"/>
    <mergeCell ref="A3:AQ3"/>
    <mergeCell ref="F4:O4"/>
    <mergeCell ref="R4:W4"/>
    <mergeCell ref="X4:AB4"/>
    <mergeCell ref="AC4:AP4"/>
    <mergeCell ref="AQ4:AQ10"/>
    <mergeCell ref="F5:H5"/>
    <mergeCell ref="I5:O5"/>
    <mergeCell ref="S5:W5"/>
    <mergeCell ref="Y5:AB5"/>
    <mergeCell ref="AD5:AP5"/>
    <mergeCell ref="X5:X10"/>
    <mergeCell ref="Y6:Y10"/>
    <mergeCell ref="Z6:Z10"/>
  </mergeCells>
  <pageMargins left="0.32" right="0.24" top="0.5" bottom="0.5" header="0.3" footer="0.3"/>
  <pageSetup paperSize="8" scale="41"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20"/>
  <sheetViews>
    <sheetView zoomScale="70" zoomScaleNormal="70" workbookViewId="0">
      <selection activeCell="B4" sqref="B4:B7"/>
    </sheetView>
  </sheetViews>
  <sheetFormatPr defaultColWidth="9.1796875" defaultRowHeight="15.5"/>
  <cols>
    <col min="1" max="1" width="6.7265625" style="294" customWidth="1"/>
    <col min="2" max="2" width="11.81640625" style="295" customWidth="1"/>
    <col min="3" max="3" width="10.7265625" style="295" customWidth="1"/>
    <col min="4" max="4" width="26.7265625" style="295" customWidth="1"/>
    <col min="5" max="5" width="12.54296875" style="295" customWidth="1"/>
    <col min="6" max="8" width="10.7265625" style="295" customWidth="1"/>
    <col min="9" max="9" width="13.7265625" style="294" customWidth="1"/>
    <col min="10" max="11" width="10.7265625" style="294" customWidth="1"/>
    <col min="12" max="12" width="12.1796875" style="295" customWidth="1"/>
    <col min="13" max="14" width="10.7265625" style="295" customWidth="1"/>
    <col min="15" max="16" width="10.7265625" style="294" customWidth="1"/>
    <col min="17" max="18" width="10.7265625" style="295" customWidth="1"/>
    <col min="19" max="23" width="13.7265625" style="295" customWidth="1"/>
    <col min="24" max="24" width="10.7265625" style="295" customWidth="1"/>
    <col min="25" max="28" width="13.7265625" style="295" customWidth="1"/>
    <col min="29" max="29" width="10.7265625" style="295" customWidth="1"/>
    <col min="30" max="30" width="10.7265625" style="292" customWidth="1"/>
    <col min="31" max="16384" width="9.1796875" style="295"/>
  </cols>
  <sheetData>
    <row r="1" spans="1:30" ht="41.25" customHeight="1">
      <c r="A1" s="489" t="s">
        <v>135</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row>
    <row r="2" spans="1:30" ht="41.25" customHeight="1">
      <c r="A2" s="489" t="s">
        <v>136</v>
      </c>
      <c r="B2" s="490"/>
      <c r="C2" s="490"/>
      <c r="D2" s="490"/>
      <c r="E2" s="490"/>
      <c r="F2" s="490"/>
      <c r="G2" s="490"/>
      <c r="H2" s="490"/>
      <c r="I2" s="490"/>
      <c r="J2" s="490"/>
      <c r="K2" s="490"/>
      <c r="L2" s="490"/>
      <c r="M2" s="490"/>
      <c r="N2" s="490"/>
      <c r="O2" s="490"/>
      <c r="P2" s="490"/>
      <c r="Q2" s="490"/>
      <c r="R2" s="490"/>
      <c r="S2" s="490"/>
      <c r="T2" s="490"/>
      <c r="U2" s="490"/>
      <c r="V2" s="490"/>
      <c r="W2" s="490"/>
      <c r="X2" s="490"/>
      <c r="Y2" s="490"/>
      <c r="Z2" s="490"/>
      <c r="AA2" s="490"/>
      <c r="AB2" s="490"/>
      <c r="AC2" s="490"/>
      <c r="AD2" s="490"/>
    </row>
    <row r="3" spans="1:30" ht="33" customHeight="1">
      <c r="A3" s="491" t="s">
        <v>2</v>
      </c>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row>
    <row r="4" spans="1:30" s="292" customFormat="1" ht="42.75" customHeight="1">
      <c r="A4" s="493" t="s">
        <v>3</v>
      </c>
      <c r="B4" s="511" t="s">
        <v>4</v>
      </c>
      <c r="C4" s="511" t="s">
        <v>5</v>
      </c>
      <c r="D4" s="496" t="s">
        <v>7</v>
      </c>
      <c r="E4" s="493" t="s">
        <v>8</v>
      </c>
      <c r="F4" s="493"/>
      <c r="G4" s="493"/>
      <c r="H4" s="493"/>
      <c r="I4" s="493"/>
      <c r="J4" s="493"/>
      <c r="K4" s="493"/>
      <c r="L4" s="493"/>
      <c r="M4" s="493"/>
      <c r="N4" s="493"/>
      <c r="O4" s="496" t="s">
        <v>137</v>
      </c>
      <c r="P4" s="496" t="s">
        <v>9</v>
      </c>
      <c r="Q4" s="496" t="s">
        <v>138</v>
      </c>
      <c r="R4" s="494" t="s">
        <v>139</v>
      </c>
      <c r="S4" s="495"/>
      <c r="T4" s="495"/>
      <c r="U4" s="495"/>
      <c r="V4" s="495"/>
      <c r="W4" s="495"/>
      <c r="X4" s="494" t="s">
        <v>140</v>
      </c>
      <c r="Y4" s="495"/>
      <c r="Z4" s="495"/>
      <c r="AA4" s="495"/>
      <c r="AB4" s="495"/>
      <c r="AC4" s="495"/>
      <c r="AD4" s="496" t="s">
        <v>14</v>
      </c>
    </row>
    <row r="5" spans="1:30" s="292" customFormat="1">
      <c r="A5" s="493"/>
      <c r="B5" s="511"/>
      <c r="C5" s="511"/>
      <c r="D5" s="496"/>
      <c r="E5" s="493" t="s">
        <v>15</v>
      </c>
      <c r="F5" s="493"/>
      <c r="G5" s="493"/>
      <c r="H5" s="493" t="s">
        <v>16</v>
      </c>
      <c r="I5" s="493"/>
      <c r="J5" s="493"/>
      <c r="K5" s="493"/>
      <c r="L5" s="493"/>
      <c r="M5" s="493"/>
      <c r="N5" s="493"/>
      <c r="O5" s="496"/>
      <c r="P5" s="496"/>
      <c r="Q5" s="496"/>
      <c r="R5" s="506" t="s">
        <v>17</v>
      </c>
      <c r="S5" s="497" t="s">
        <v>18</v>
      </c>
      <c r="T5" s="497"/>
      <c r="U5" s="497"/>
      <c r="V5" s="497"/>
      <c r="W5" s="497"/>
      <c r="X5" s="506" t="s">
        <v>17</v>
      </c>
      <c r="Y5" s="497" t="s">
        <v>18</v>
      </c>
      <c r="Z5" s="497"/>
      <c r="AA5" s="497"/>
      <c r="AB5" s="497"/>
      <c r="AC5" s="497"/>
      <c r="AD5" s="496"/>
    </row>
    <row r="6" spans="1:30" s="292" customFormat="1" ht="15.75" customHeight="1">
      <c r="A6" s="493"/>
      <c r="B6" s="511"/>
      <c r="C6" s="511"/>
      <c r="D6" s="496"/>
      <c r="E6" s="496" t="s">
        <v>22</v>
      </c>
      <c r="F6" s="503" t="s">
        <v>23</v>
      </c>
      <c r="G6" s="503"/>
      <c r="H6" s="496" t="s">
        <v>24</v>
      </c>
      <c r="I6" s="496" t="s">
        <v>25</v>
      </c>
      <c r="J6" s="496" t="s">
        <v>26</v>
      </c>
      <c r="K6" s="496"/>
      <c r="L6" s="496" t="s">
        <v>22</v>
      </c>
      <c r="M6" s="503" t="s">
        <v>23</v>
      </c>
      <c r="N6" s="503"/>
      <c r="O6" s="496"/>
      <c r="P6" s="496"/>
      <c r="Q6" s="496"/>
      <c r="R6" s="506"/>
      <c r="S6" s="507" t="s">
        <v>27</v>
      </c>
      <c r="T6" s="507" t="s">
        <v>28</v>
      </c>
      <c r="U6" s="507" t="s">
        <v>29</v>
      </c>
      <c r="V6" s="507" t="s">
        <v>30</v>
      </c>
      <c r="W6" s="507" t="s">
        <v>141</v>
      </c>
      <c r="X6" s="506"/>
      <c r="Y6" s="507" t="s">
        <v>27</v>
      </c>
      <c r="Z6" s="507" t="s">
        <v>28</v>
      </c>
      <c r="AA6" s="507" t="s">
        <v>29</v>
      </c>
      <c r="AB6" s="507" t="s">
        <v>30</v>
      </c>
      <c r="AC6" s="507" t="s">
        <v>142</v>
      </c>
      <c r="AD6" s="496"/>
    </row>
    <row r="7" spans="1:30" s="292" customFormat="1" ht="77.25" customHeight="1">
      <c r="A7" s="493"/>
      <c r="B7" s="511"/>
      <c r="C7" s="511"/>
      <c r="D7" s="496"/>
      <c r="E7" s="496"/>
      <c r="F7" s="181" t="s">
        <v>143</v>
      </c>
      <c r="G7" s="181" t="s">
        <v>144</v>
      </c>
      <c r="H7" s="496"/>
      <c r="I7" s="496"/>
      <c r="J7" s="180" t="s">
        <v>40</v>
      </c>
      <c r="K7" s="180" t="s">
        <v>41</v>
      </c>
      <c r="L7" s="496"/>
      <c r="M7" s="181" t="s">
        <v>143</v>
      </c>
      <c r="N7" s="181" t="s">
        <v>144</v>
      </c>
      <c r="O7" s="496"/>
      <c r="P7" s="496"/>
      <c r="Q7" s="496"/>
      <c r="R7" s="506"/>
      <c r="S7" s="508"/>
      <c r="T7" s="508"/>
      <c r="U7" s="508"/>
      <c r="V7" s="508"/>
      <c r="W7" s="508"/>
      <c r="X7" s="506"/>
      <c r="Y7" s="508"/>
      <c r="Z7" s="508"/>
      <c r="AA7" s="508"/>
      <c r="AB7" s="508"/>
      <c r="AC7" s="508"/>
      <c r="AD7" s="496"/>
    </row>
    <row r="8" spans="1:30">
      <c r="A8" s="296">
        <v>1</v>
      </c>
      <c r="B8" s="296">
        <v>2</v>
      </c>
      <c r="C8" s="296">
        <v>3</v>
      </c>
      <c r="D8" s="296">
        <v>4</v>
      </c>
      <c r="E8" s="296">
        <v>5</v>
      </c>
      <c r="F8" s="296">
        <v>6</v>
      </c>
      <c r="G8" s="296">
        <v>7</v>
      </c>
      <c r="H8" s="296">
        <v>8</v>
      </c>
      <c r="I8" s="296">
        <v>9</v>
      </c>
      <c r="J8" s="296">
        <v>10</v>
      </c>
      <c r="K8" s="296">
        <v>11</v>
      </c>
      <c r="L8" s="296">
        <v>12</v>
      </c>
      <c r="M8" s="296">
        <v>13</v>
      </c>
      <c r="N8" s="296">
        <v>14</v>
      </c>
      <c r="O8" s="296">
        <v>15</v>
      </c>
      <c r="P8" s="296">
        <v>16</v>
      </c>
      <c r="Q8" s="296">
        <v>17</v>
      </c>
      <c r="R8" s="296">
        <v>18</v>
      </c>
      <c r="S8" s="296">
        <v>19</v>
      </c>
      <c r="T8" s="296">
        <v>20</v>
      </c>
      <c r="U8" s="296">
        <v>21</v>
      </c>
      <c r="V8" s="296">
        <v>22</v>
      </c>
      <c r="W8" s="296">
        <v>23</v>
      </c>
      <c r="X8" s="296">
        <v>24</v>
      </c>
      <c r="Y8" s="296">
        <v>25</v>
      </c>
      <c r="Z8" s="296">
        <v>26</v>
      </c>
      <c r="AA8" s="296">
        <v>27</v>
      </c>
      <c r="AB8" s="296">
        <v>28</v>
      </c>
      <c r="AC8" s="296">
        <v>29</v>
      </c>
      <c r="AD8" s="296">
        <v>30</v>
      </c>
    </row>
    <row r="9" spans="1:30" s="293" customFormat="1">
      <c r="A9" s="297"/>
      <c r="B9" s="298"/>
      <c r="C9" s="298"/>
      <c r="D9" s="297" t="s">
        <v>60</v>
      </c>
      <c r="E9" s="299"/>
      <c r="F9" s="298"/>
      <c r="G9" s="298"/>
      <c r="H9" s="298"/>
      <c r="I9" s="297"/>
      <c r="J9" s="297"/>
      <c r="K9" s="297"/>
      <c r="L9" s="298"/>
      <c r="M9" s="298"/>
      <c r="N9" s="298"/>
      <c r="O9" s="297"/>
      <c r="P9" s="297"/>
      <c r="Q9" s="298"/>
      <c r="R9" s="345"/>
      <c r="S9" s="345"/>
      <c r="T9" s="345"/>
      <c r="U9" s="345"/>
      <c r="V9" s="345"/>
      <c r="W9" s="345"/>
      <c r="X9" s="345"/>
      <c r="Y9" s="345"/>
      <c r="Z9" s="345"/>
      <c r="AA9" s="345"/>
      <c r="AB9" s="345"/>
      <c r="AC9" s="345"/>
      <c r="AD9" s="349"/>
    </row>
    <row r="10" spans="1:30" s="293" customFormat="1" ht="60">
      <c r="A10" s="297" t="s">
        <v>61</v>
      </c>
      <c r="B10" s="298"/>
      <c r="C10" s="298"/>
      <c r="D10" s="300" t="s">
        <v>62</v>
      </c>
      <c r="E10" s="299"/>
      <c r="F10" s="298"/>
      <c r="G10" s="298"/>
      <c r="H10" s="298"/>
      <c r="I10" s="297"/>
      <c r="J10" s="297"/>
      <c r="K10" s="297"/>
      <c r="L10" s="298"/>
      <c r="M10" s="298"/>
      <c r="N10" s="298"/>
      <c r="O10" s="297"/>
      <c r="P10" s="297"/>
      <c r="Q10" s="298"/>
      <c r="R10" s="345"/>
      <c r="S10" s="345"/>
      <c r="T10" s="345"/>
      <c r="U10" s="345"/>
      <c r="V10" s="345"/>
      <c r="W10" s="345"/>
      <c r="X10" s="345"/>
      <c r="Y10" s="345"/>
      <c r="Z10" s="345"/>
      <c r="AA10" s="345"/>
      <c r="AB10" s="345"/>
      <c r="AC10" s="345"/>
      <c r="AD10" s="349"/>
    </row>
    <row r="11" spans="1:30" ht="52.5" customHeight="1">
      <c r="A11" s="301"/>
      <c r="B11" s="302" t="s">
        <v>80</v>
      </c>
      <c r="C11" s="302">
        <v>7895799</v>
      </c>
      <c r="D11" s="303" t="s">
        <v>145</v>
      </c>
      <c r="E11" s="304" t="s">
        <v>146</v>
      </c>
      <c r="F11" s="305">
        <v>30000</v>
      </c>
      <c r="G11" s="305">
        <v>30000</v>
      </c>
      <c r="H11" s="301" t="s">
        <v>134</v>
      </c>
      <c r="I11" s="301" t="s">
        <v>147</v>
      </c>
      <c r="J11" s="301">
        <v>2020</v>
      </c>
      <c r="K11" s="301">
        <v>2022</v>
      </c>
      <c r="L11" s="304" t="s">
        <v>148</v>
      </c>
      <c r="M11" s="305">
        <v>30000</v>
      </c>
      <c r="N11" s="305">
        <v>30000</v>
      </c>
      <c r="O11" s="306">
        <v>5000</v>
      </c>
      <c r="P11" s="301">
        <v>2020</v>
      </c>
      <c r="Q11" s="305">
        <v>25000</v>
      </c>
      <c r="R11" s="346">
        <f>SUM(S11:W11)</f>
        <v>25000</v>
      </c>
      <c r="S11" s="346">
        <v>20000</v>
      </c>
      <c r="T11" s="346">
        <v>5000</v>
      </c>
      <c r="U11" s="346"/>
      <c r="V11" s="346"/>
      <c r="W11" s="346"/>
      <c r="X11" s="346">
        <f>SUM(Y11:AC11)</f>
        <v>25000</v>
      </c>
      <c r="Y11" s="346">
        <v>20000</v>
      </c>
      <c r="Z11" s="346">
        <v>5000</v>
      </c>
      <c r="AA11" s="346"/>
      <c r="AB11" s="346"/>
      <c r="AC11" s="346"/>
      <c r="AD11" s="349"/>
    </row>
    <row r="12" spans="1:30">
      <c r="A12" s="301"/>
      <c r="B12" s="302"/>
      <c r="C12" s="302"/>
      <c r="D12" s="302" t="s">
        <v>125</v>
      </c>
      <c r="E12" s="304"/>
      <c r="F12" s="302"/>
      <c r="G12" s="302"/>
      <c r="H12" s="302"/>
      <c r="I12" s="301"/>
      <c r="J12" s="301"/>
      <c r="K12" s="301"/>
      <c r="L12" s="304"/>
      <c r="M12" s="302"/>
      <c r="N12" s="302"/>
      <c r="O12" s="301"/>
      <c r="P12" s="301"/>
      <c r="Q12" s="302"/>
      <c r="R12" s="347">
        <f t="shared" ref="R12:R20" si="0">SUM(S12:W12)</f>
        <v>0</v>
      </c>
      <c r="S12" s="348"/>
      <c r="T12" s="348"/>
      <c r="U12" s="348"/>
      <c r="V12" s="348"/>
      <c r="W12" s="348"/>
      <c r="X12" s="347">
        <f>SUM(Y12:AC12)</f>
        <v>0</v>
      </c>
      <c r="Y12" s="348"/>
      <c r="Z12" s="348"/>
      <c r="AA12" s="348"/>
      <c r="AB12" s="348"/>
      <c r="AC12" s="348"/>
      <c r="AD12" s="349"/>
    </row>
    <row r="13" spans="1:30">
      <c r="A13" s="301"/>
      <c r="B13" s="302"/>
      <c r="C13" s="302"/>
      <c r="D13" s="302" t="s">
        <v>119</v>
      </c>
      <c r="E13" s="304"/>
      <c r="F13" s="302"/>
      <c r="G13" s="302"/>
      <c r="H13" s="302"/>
      <c r="I13" s="301"/>
      <c r="J13" s="301"/>
      <c r="K13" s="301"/>
      <c r="L13" s="304"/>
      <c r="M13" s="302"/>
      <c r="N13" s="302"/>
      <c r="O13" s="301"/>
      <c r="P13" s="301"/>
      <c r="Q13" s="302"/>
      <c r="R13" s="347">
        <f t="shared" si="0"/>
        <v>0</v>
      </c>
      <c r="S13" s="348"/>
      <c r="T13" s="348"/>
      <c r="U13" s="348"/>
      <c r="V13" s="348"/>
      <c r="W13" s="348"/>
      <c r="X13" s="347">
        <f>SUM(Y13:AC13)</f>
        <v>0</v>
      </c>
      <c r="Y13" s="348"/>
      <c r="Z13" s="348"/>
      <c r="AA13" s="348"/>
      <c r="AB13" s="348"/>
      <c r="AC13" s="348"/>
      <c r="AD13" s="349"/>
    </row>
    <row r="14" spans="1:30" ht="67.5" customHeight="1">
      <c r="A14" s="297" t="s">
        <v>75</v>
      </c>
      <c r="B14" s="302"/>
      <c r="C14" s="302"/>
      <c r="D14" s="300" t="s">
        <v>76</v>
      </c>
      <c r="E14" s="304"/>
      <c r="F14" s="302"/>
      <c r="G14" s="302"/>
      <c r="H14" s="302"/>
      <c r="I14" s="301"/>
      <c r="J14" s="301"/>
      <c r="K14" s="301"/>
      <c r="L14" s="304"/>
      <c r="M14" s="302"/>
      <c r="N14" s="302"/>
      <c r="O14" s="301"/>
      <c r="P14" s="301"/>
      <c r="Q14" s="302"/>
      <c r="R14" s="347"/>
      <c r="S14" s="348"/>
      <c r="T14" s="348"/>
      <c r="U14" s="348"/>
      <c r="V14" s="348"/>
      <c r="W14" s="348"/>
      <c r="X14" s="347"/>
      <c r="Y14" s="348"/>
      <c r="Z14" s="348"/>
      <c r="AA14" s="348"/>
      <c r="AB14" s="348"/>
      <c r="AC14" s="348"/>
      <c r="AD14" s="349"/>
    </row>
    <row r="15" spans="1:30" ht="52.5" customHeight="1">
      <c r="A15" s="301"/>
      <c r="B15" s="302" t="s">
        <v>80</v>
      </c>
      <c r="C15" s="302">
        <v>7895756</v>
      </c>
      <c r="D15" s="303" t="s">
        <v>145</v>
      </c>
      <c r="E15" s="304" t="s">
        <v>149</v>
      </c>
      <c r="F15" s="305">
        <v>25000</v>
      </c>
      <c r="G15" s="305">
        <v>25000</v>
      </c>
      <c r="H15" s="301" t="s">
        <v>134</v>
      </c>
      <c r="I15" s="301" t="s">
        <v>147</v>
      </c>
      <c r="J15" s="301">
        <v>2022</v>
      </c>
      <c r="K15" s="301">
        <v>2023</v>
      </c>
      <c r="L15" s="304" t="s">
        <v>150</v>
      </c>
      <c r="M15" s="305">
        <v>25000</v>
      </c>
      <c r="N15" s="305">
        <v>25000</v>
      </c>
      <c r="O15" s="306">
        <v>0</v>
      </c>
      <c r="P15" s="301">
        <v>2022</v>
      </c>
      <c r="Q15" s="305">
        <v>25000</v>
      </c>
      <c r="R15" s="346">
        <f>SUM(S15:W15)</f>
        <v>25000</v>
      </c>
      <c r="S15" s="346"/>
      <c r="T15" s="346">
        <v>5000</v>
      </c>
      <c r="U15" s="346">
        <v>20000</v>
      </c>
      <c r="V15" s="346"/>
      <c r="W15" s="346"/>
      <c r="X15" s="346">
        <f t="shared" ref="X15:X20" si="1">SUM(Y15:AC15)</f>
        <v>25000</v>
      </c>
      <c r="Y15" s="346"/>
      <c r="Z15" s="346">
        <v>5000</v>
      </c>
      <c r="AA15" s="346">
        <v>20000</v>
      </c>
      <c r="AB15" s="346"/>
      <c r="AC15" s="346"/>
      <c r="AD15" s="349"/>
    </row>
    <row r="16" spans="1:30">
      <c r="A16" s="301"/>
      <c r="B16" s="302"/>
      <c r="C16" s="302"/>
      <c r="D16" s="302" t="s">
        <v>119</v>
      </c>
      <c r="E16" s="304"/>
      <c r="F16" s="302"/>
      <c r="G16" s="302"/>
      <c r="H16" s="302"/>
      <c r="I16" s="301"/>
      <c r="J16" s="301"/>
      <c r="K16" s="301"/>
      <c r="L16" s="304"/>
      <c r="M16" s="302"/>
      <c r="N16" s="302"/>
      <c r="O16" s="301"/>
      <c r="P16" s="301"/>
      <c r="Q16" s="302"/>
      <c r="R16" s="347">
        <f>SUM(S16:W16)</f>
        <v>0</v>
      </c>
      <c r="S16" s="348"/>
      <c r="T16" s="348"/>
      <c r="U16" s="348"/>
      <c r="V16" s="348"/>
      <c r="W16" s="348"/>
      <c r="X16" s="347">
        <f t="shared" si="1"/>
        <v>0</v>
      </c>
      <c r="Y16" s="348"/>
      <c r="Z16" s="348"/>
      <c r="AA16" s="348"/>
      <c r="AB16" s="348"/>
      <c r="AC16" s="348"/>
      <c r="AD16" s="349"/>
    </row>
    <row r="17" spans="1:30" ht="66.75" customHeight="1">
      <c r="A17" s="297" t="s">
        <v>84</v>
      </c>
      <c r="B17" s="302"/>
      <c r="C17" s="302"/>
      <c r="D17" s="300" t="s">
        <v>85</v>
      </c>
      <c r="E17" s="304"/>
      <c r="F17" s="302"/>
      <c r="G17" s="302"/>
      <c r="H17" s="302"/>
      <c r="I17" s="301"/>
      <c r="J17" s="301"/>
      <c r="K17" s="301"/>
      <c r="L17" s="304"/>
      <c r="M17" s="302"/>
      <c r="N17" s="302"/>
      <c r="O17" s="301"/>
      <c r="P17" s="301"/>
      <c r="Q17" s="302"/>
      <c r="R17" s="347">
        <f t="shared" si="0"/>
        <v>0</v>
      </c>
      <c r="S17" s="348"/>
      <c r="T17" s="348"/>
      <c r="U17" s="348"/>
      <c r="V17" s="348"/>
      <c r="W17" s="348"/>
      <c r="X17" s="347">
        <f t="shared" si="1"/>
        <v>0</v>
      </c>
      <c r="Y17" s="348"/>
      <c r="Z17" s="348"/>
      <c r="AA17" s="348"/>
      <c r="AB17" s="348"/>
      <c r="AC17" s="348"/>
      <c r="AD17" s="349"/>
    </row>
    <row r="18" spans="1:30">
      <c r="A18" s="301"/>
      <c r="B18" s="302"/>
      <c r="C18" s="302"/>
      <c r="D18" s="302" t="s">
        <v>125</v>
      </c>
      <c r="E18" s="304"/>
      <c r="F18" s="302"/>
      <c r="G18" s="302"/>
      <c r="H18" s="302"/>
      <c r="I18" s="301"/>
      <c r="J18" s="301"/>
      <c r="K18" s="301"/>
      <c r="L18" s="304"/>
      <c r="M18" s="302"/>
      <c r="N18" s="302"/>
      <c r="O18" s="301"/>
      <c r="P18" s="301"/>
      <c r="Q18" s="302"/>
      <c r="R18" s="347">
        <f t="shared" si="0"/>
        <v>0</v>
      </c>
      <c r="S18" s="348"/>
      <c r="T18" s="348"/>
      <c r="U18" s="348"/>
      <c r="V18" s="348"/>
      <c r="W18" s="348"/>
      <c r="X18" s="347">
        <f t="shared" si="1"/>
        <v>0</v>
      </c>
      <c r="Y18" s="348"/>
      <c r="Z18" s="348"/>
      <c r="AA18" s="348"/>
      <c r="AB18" s="348"/>
      <c r="AC18" s="348"/>
      <c r="AD18" s="349"/>
    </row>
    <row r="19" spans="1:30">
      <c r="A19" s="301"/>
      <c r="B19" s="302"/>
      <c r="C19" s="302"/>
      <c r="D19" s="302" t="s">
        <v>119</v>
      </c>
      <c r="E19" s="304"/>
      <c r="F19" s="302"/>
      <c r="G19" s="302"/>
      <c r="H19" s="302"/>
      <c r="I19" s="301"/>
      <c r="J19" s="301"/>
      <c r="K19" s="301"/>
      <c r="L19" s="304"/>
      <c r="M19" s="302"/>
      <c r="N19" s="302"/>
      <c r="O19" s="301"/>
      <c r="P19" s="301"/>
      <c r="Q19" s="302"/>
      <c r="R19" s="347">
        <f t="shared" si="0"/>
        <v>0</v>
      </c>
      <c r="S19" s="348"/>
      <c r="T19" s="348"/>
      <c r="U19" s="348"/>
      <c r="V19" s="348"/>
      <c r="W19" s="348"/>
      <c r="X19" s="347">
        <f t="shared" si="1"/>
        <v>0</v>
      </c>
      <c r="Y19" s="348"/>
      <c r="Z19" s="348"/>
      <c r="AA19" s="348"/>
      <c r="AB19" s="348"/>
      <c r="AC19" s="348"/>
      <c r="AD19" s="349"/>
    </row>
    <row r="20" spans="1:30">
      <c r="A20" s="301"/>
      <c r="B20" s="302"/>
      <c r="C20" s="302"/>
      <c r="D20" s="302"/>
      <c r="E20" s="304"/>
      <c r="F20" s="302"/>
      <c r="G20" s="302"/>
      <c r="H20" s="302"/>
      <c r="I20" s="301"/>
      <c r="J20" s="301"/>
      <c r="K20" s="301"/>
      <c r="L20" s="304"/>
      <c r="M20" s="302"/>
      <c r="N20" s="302"/>
      <c r="O20" s="301"/>
      <c r="P20" s="301"/>
      <c r="Q20" s="302"/>
      <c r="R20" s="347">
        <f t="shared" si="0"/>
        <v>0</v>
      </c>
      <c r="S20" s="348"/>
      <c r="T20" s="348"/>
      <c r="U20" s="348"/>
      <c r="V20" s="348"/>
      <c r="W20" s="348"/>
      <c r="X20" s="347">
        <f t="shared" si="1"/>
        <v>0</v>
      </c>
      <c r="Y20" s="348"/>
      <c r="Z20" s="348"/>
      <c r="AA20" s="348"/>
      <c r="AB20" s="348"/>
      <c r="AC20" s="348"/>
      <c r="AD20" s="349"/>
    </row>
  </sheetData>
  <mergeCells count="37">
    <mergeCell ref="Z6:Z7"/>
    <mergeCell ref="AA6:AA7"/>
    <mergeCell ref="AB6:AB7"/>
    <mergeCell ref="AC6:AC7"/>
    <mergeCell ref="AD4:AD7"/>
    <mergeCell ref="E5:G5"/>
    <mergeCell ref="H5:N5"/>
    <mergeCell ref="S5:W5"/>
    <mergeCell ref="Y5:AC5"/>
    <mergeCell ref="F6:G6"/>
    <mergeCell ref="J6:K6"/>
    <mergeCell ref="M6:N6"/>
    <mergeCell ref="E6:E7"/>
    <mergeCell ref="H6:H7"/>
    <mergeCell ref="I6:I7"/>
    <mergeCell ref="L6:L7"/>
    <mergeCell ref="O4:O7"/>
    <mergeCell ref="P4:P7"/>
    <mergeCell ref="Q4:Q7"/>
    <mergeCell ref="R5:R7"/>
    <mergeCell ref="S6:S7"/>
    <mergeCell ref="A1:AD1"/>
    <mergeCell ref="A2:AD2"/>
    <mergeCell ref="A3:AD3"/>
    <mergeCell ref="E4:N4"/>
    <mergeCell ref="R4:W4"/>
    <mergeCell ref="X4:AC4"/>
    <mergeCell ref="A4:A7"/>
    <mergeCell ref="B4:B7"/>
    <mergeCell ref="C4:C7"/>
    <mergeCell ref="D4:D7"/>
    <mergeCell ref="T6:T7"/>
    <mergeCell ref="U6:U7"/>
    <mergeCell ref="V6:V7"/>
    <mergeCell ref="W6:W7"/>
    <mergeCell ref="X5:X7"/>
    <mergeCell ref="Y6:Y7"/>
  </mergeCells>
  <pageMargins left="0.21" right="0.26" top="0.39" bottom="0.45" header="0.23" footer="0.3"/>
  <pageSetup paperSize="8" scale="55" fitToHeight="0" orientation="landscape"/>
  <headerFooter differentFirst="1">
    <oddHeader>&amp;C&amp;P/&amp;N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X17"/>
  <sheetViews>
    <sheetView view="pageBreakPreview" zoomScale="70" zoomScaleNormal="70" workbookViewId="0">
      <selection activeCell="K8" sqref="K8"/>
    </sheetView>
  </sheetViews>
  <sheetFormatPr defaultColWidth="9.1796875" defaultRowHeight="15.5"/>
  <cols>
    <col min="1" max="1" width="6.7265625" style="3" customWidth="1"/>
    <col min="2" max="2" width="11.81640625" style="8" customWidth="1"/>
    <col min="3" max="3" width="10.7265625" style="8" customWidth="1"/>
    <col min="4" max="4" width="26.7265625" style="8" customWidth="1"/>
    <col min="5" max="5" width="12.54296875" style="8" customWidth="1"/>
    <col min="6" max="7" width="12" style="8" customWidth="1"/>
    <col min="8" max="8" width="10.7265625" style="8" customWidth="1"/>
    <col min="9" max="9" width="13.7265625" style="3" customWidth="1"/>
    <col min="10" max="11" width="10.7265625" style="3" customWidth="1"/>
    <col min="12" max="12" width="12.1796875" style="8" customWidth="1"/>
    <col min="13" max="15" width="10.7265625" style="8" customWidth="1"/>
    <col min="16" max="24" width="15" style="3" customWidth="1"/>
    <col min="25" max="16384" width="9.1796875" style="8"/>
  </cols>
  <sheetData>
    <row r="1" spans="1:24" ht="41.25" customHeight="1">
      <c r="A1" s="512" t="s">
        <v>151</v>
      </c>
      <c r="B1" s="513"/>
      <c r="C1" s="513"/>
      <c r="D1" s="513"/>
      <c r="E1" s="513"/>
      <c r="F1" s="513"/>
      <c r="G1" s="513"/>
      <c r="H1" s="513"/>
      <c r="I1" s="513"/>
      <c r="J1" s="513"/>
      <c r="K1" s="513"/>
      <c r="L1" s="513"/>
      <c r="M1" s="513"/>
      <c r="N1" s="513"/>
      <c r="O1" s="513"/>
      <c r="P1" s="513"/>
      <c r="Q1" s="514"/>
      <c r="R1" s="514"/>
      <c r="S1" s="514"/>
      <c r="T1" s="514"/>
      <c r="U1" s="514"/>
      <c r="V1" s="514"/>
      <c r="W1" s="514"/>
      <c r="X1" s="514"/>
    </row>
    <row r="2" spans="1:24" ht="41.25" customHeight="1">
      <c r="A2" s="512" t="s">
        <v>152</v>
      </c>
      <c r="B2" s="513"/>
      <c r="C2" s="513"/>
      <c r="D2" s="513"/>
      <c r="E2" s="513"/>
      <c r="F2" s="513"/>
      <c r="G2" s="513"/>
      <c r="H2" s="513"/>
      <c r="I2" s="513"/>
      <c r="J2" s="513"/>
      <c r="K2" s="513"/>
      <c r="L2" s="513"/>
      <c r="M2" s="513"/>
      <c r="N2" s="513"/>
      <c r="O2" s="513"/>
      <c r="P2" s="513"/>
      <c r="Q2" s="514"/>
      <c r="R2" s="514"/>
      <c r="S2" s="514"/>
      <c r="T2" s="514"/>
      <c r="U2" s="514"/>
      <c r="V2" s="514"/>
      <c r="W2" s="514"/>
      <c r="X2" s="514"/>
    </row>
    <row r="3" spans="1:24" ht="33" customHeight="1">
      <c r="A3" s="515" t="s">
        <v>2</v>
      </c>
      <c r="B3" s="516"/>
      <c r="C3" s="516"/>
      <c r="D3" s="516"/>
      <c r="E3" s="516"/>
      <c r="F3" s="516"/>
      <c r="G3" s="516"/>
      <c r="H3" s="516"/>
      <c r="I3" s="516"/>
      <c r="J3" s="516"/>
      <c r="K3" s="516"/>
      <c r="L3" s="516"/>
      <c r="M3" s="516"/>
      <c r="N3" s="516"/>
      <c r="O3" s="516"/>
      <c r="P3" s="516"/>
      <c r="Q3" s="517"/>
      <c r="R3" s="517"/>
      <c r="S3" s="517"/>
      <c r="T3" s="517"/>
      <c r="U3" s="517"/>
      <c r="V3" s="517"/>
      <c r="W3" s="517"/>
      <c r="X3" s="517"/>
    </row>
    <row r="4" spans="1:24" s="4" customFormat="1" ht="86.25" customHeight="1">
      <c r="A4" s="493" t="s">
        <v>3</v>
      </c>
      <c r="B4" s="493" t="s">
        <v>4</v>
      </c>
      <c r="C4" s="493" t="s">
        <v>5</v>
      </c>
      <c r="D4" s="496" t="s">
        <v>7</v>
      </c>
      <c r="E4" s="493" t="s">
        <v>153</v>
      </c>
      <c r="F4" s="493"/>
      <c r="G4" s="493"/>
      <c r="H4" s="493"/>
      <c r="I4" s="493"/>
      <c r="J4" s="493"/>
      <c r="K4" s="493"/>
      <c r="L4" s="493"/>
      <c r="M4" s="493"/>
      <c r="N4" s="493"/>
      <c r="O4" s="496" t="s">
        <v>9</v>
      </c>
      <c r="P4" s="518" t="s">
        <v>154</v>
      </c>
      <c r="Q4" s="519"/>
      <c r="R4" s="518" t="s">
        <v>155</v>
      </c>
      <c r="S4" s="519"/>
      <c r="T4" s="518" t="s">
        <v>156</v>
      </c>
      <c r="U4" s="519"/>
      <c r="V4" s="518" t="s">
        <v>157</v>
      </c>
      <c r="W4" s="519"/>
      <c r="X4" s="496" t="s">
        <v>14</v>
      </c>
    </row>
    <row r="5" spans="1:24" s="4" customFormat="1" ht="39.75" customHeight="1">
      <c r="A5" s="493"/>
      <c r="B5" s="493"/>
      <c r="C5" s="493"/>
      <c r="D5" s="496"/>
      <c r="E5" s="493" t="s">
        <v>15</v>
      </c>
      <c r="F5" s="493"/>
      <c r="G5" s="493"/>
      <c r="H5" s="493" t="s">
        <v>16</v>
      </c>
      <c r="I5" s="493"/>
      <c r="J5" s="493"/>
      <c r="K5" s="493"/>
      <c r="L5" s="493"/>
      <c r="M5" s="493"/>
      <c r="N5" s="493"/>
      <c r="O5" s="496"/>
      <c r="P5" s="520" t="s">
        <v>158</v>
      </c>
      <c r="Q5" s="520" t="s">
        <v>159</v>
      </c>
      <c r="R5" s="520" t="s">
        <v>158</v>
      </c>
      <c r="S5" s="520" t="s">
        <v>159</v>
      </c>
      <c r="T5" s="520" t="s">
        <v>158</v>
      </c>
      <c r="U5" s="520" t="s">
        <v>159</v>
      </c>
      <c r="V5" s="520" t="s">
        <v>158</v>
      </c>
      <c r="W5" s="520" t="s">
        <v>159</v>
      </c>
      <c r="X5" s="496"/>
    </row>
    <row r="6" spans="1:24" s="4" customFormat="1">
      <c r="A6" s="493"/>
      <c r="B6" s="493"/>
      <c r="C6" s="493"/>
      <c r="D6" s="496"/>
      <c r="E6" s="496" t="s">
        <v>22</v>
      </c>
      <c r="F6" s="503" t="s">
        <v>23</v>
      </c>
      <c r="G6" s="503"/>
      <c r="H6" s="496" t="s">
        <v>24</v>
      </c>
      <c r="I6" s="496" t="s">
        <v>25</v>
      </c>
      <c r="J6" s="496" t="s">
        <v>26</v>
      </c>
      <c r="K6" s="496"/>
      <c r="L6" s="496" t="s">
        <v>22</v>
      </c>
      <c r="M6" s="503" t="s">
        <v>23</v>
      </c>
      <c r="N6" s="503"/>
      <c r="O6" s="496"/>
      <c r="P6" s="521"/>
      <c r="Q6" s="521"/>
      <c r="R6" s="521"/>
      <c r="S6" s="521"/>
      <c r="T6" s="521"/>
      <c r="U6" s="521"/>
      <c r="V6" s="521"/>
      <c r="W6" s="521"/>
      <c r="X6" s="496"/>
    </row>
    <row r="7" spans="1:24" s="4" customFormat="1" ht="126" customHeight="1">
      <c r="A7" s="493"/>
      <c r="B7" s="493"/>
      <c r="C7" s="493"/>
      <c r="D7" s="496"/>
      <c r="E7" s="496"/>
      <c r="F7" s="181" t="s">
        <v>158</v>
      </c>
      <c r="G7" s="181" t="s">
        <v>159</v>
      </c>
      <c r="H7" s="496"/>
      <c r="I7" s="496"/>
      <c r="J7" s="180" t="s">
        <v>40</v>
      </c>
      <c r="K7" s="180" t="s">
        <v>41</v>
      </c>
      <c r="L7" s="496"/>
      <c r="M7" s="181" t="s">
        <v>158</v>
      </c>
      <c r="N7" s="181" t="s">
        <v>159</v>
      </c>
      <c r="O7" s="496"/>
      <c r="P7" s="522"/>
      <c r="Q7" s="522"/>
      <c r="R7" s="522"/>
      <c r="S7" s="522"/>
      <c r="T7" s="522"/>
      <c r="U7" s="522"/>
      <c r="V7" s="522"/>
      <c r="W7" s="522"/>
      <c r="X7" s="496"/>
    </row>
    <row r="8" spans="1:24">
      <c r="A8" s="265">
        <v>1</v>
      </c>
      <c r="B8" s="265">
        <v>2</v>
      </c>
      <c r="C8" s="265">
        <v>3</v>
      </c>
      <c r="D8" s="265">
        <v>4</v>
      </c>
      <c r="E8" s="265">
        <v>5</v>
      </c>
      <c r="F8" s="265">
        <v>6</v>
      </c>
      <c r="G8" s="265">
        <v>7</v>
      </c>
      <c r="H8" s="265">
        <v>8</v>
      </c>
      <c r="I8" s="265">
        <v>9</v>
      </c>
      <c r="J8" s="265">
        <v>10</v>
      </c>
      <c r="K8" s="265">
        <v>11</v>
      </c>
      <c r="L8" s="265">
        <v>12</v>
      </c>
      <c r="M8" s="265">
        <v>13</v>
      </c>
      <c r="N8" s="265">
        <v>14</v>
      </c>
      <c r="O8" s="265">
        <v>15</v>
      </c>
      <c r="P8" s="265">
        <v>16</v>
      </c>
      <c r="Q8" s="265">
        <v>17</v>
      </c>
      <c r="R8" s="265">
        <v>18</v>
      </c>
      <c r="S8" s="265">
        <v>19</v>
      </c>
      <c r="T8" s="265" t="s">
        <v>160</v>
      </c>
      <c r="U8" s="265" t="s">
        <v>161</v>
      </c>
      <c r="V8" s="265">
        <v>22</v>
      </c>
      <c r="W8" s="265">
        <v>23</v>
      </c>
      <c r="X8" s="265">
        <v>24</v>
      </c>
    </row>
    <row r="9" spans="1:24" s="81" customFormat="1" ht="28.5" customHeight="1">
      <c r="A9" s="266"/>
      <c r="B9" s="267"/>
      <c r="C9" s="267"/>
      <c r="D9" s="266" t="s">
        <v>60</v>
      </c>
      <c r="E9" s="268"/>
      <c r="F9" s="269">
        <f t="shared" ref="F9:W9" si="0">F10+F11+F17</f>
        <v>1000000</v>
      </c>
      <c r="G9" s="269">
        <f t="shared" si="0"/>
        <v>1000000</v>
      </c>
      <c r="H9" s="269">
        <f t="shared" si="0"/>
        <v>0</v>
      </c>
      <c r="I9" s="269">
        <f t="shared" si="0"/>
        <v>0</v>
      </c>
      <c r="J9" s="269">
        <f t="shared" si="0"/>
        <v>0</v>
      </c>
      <c r="K9" s="269">
        <f t="shared" si="0"/>
        <v>0</v>
      </c>
      <c r="L9" s="269">
        <f t="shared" si="0"/>
        <v>0</v>
      </c>
      <c r="M9" s="269">
        <f t="shared" si="0"/>
        <v>1000000</v>
      </c>
      <c r="N9" s="269">
        <f t="shared" si="0"/>
        <v>1000000</v>
      </c>
      <c r="O9" s="269">
        <f t="shared" si="0"/>
        <v>0</v>
      </c>
      <c r="P9" s="269">
        <f t="shared" si="0"/>
        <v>0</v>
      </c>
      <c r="Q9" s="269">
        <f t="shared" si="0"/>
        <v>0</v>
      </c>
      <c r="R9" s="269">
        <f t="shared" si="0"/>
        <v>0</v>
      </c>
      <c r="S9" s="269">
        <f t="shared" si="0"/>
        <v>0</v>
      </c>
      <c r="T9" s="269">
        <f t="shared" si="0"/>
        <v>0</v>
      </c>
      <c r="U9" s="269">
        <f t="shared" si="0"/>
        <v>0</v>
      </c>
      <c r="V9" s="269">
        <f t="shared" si="0"/>
        <v>1000000</v>
      </c>
      <c r="W9" s="269">
        <f t="shared" si="0"/>
        <v>1000000</v>
      </c>
      <c r="X9" s="266"/>
    </row>
    <row r="10" spans="1:24" s="81" customFormat="1" ht="59.25" customHeight="1">
      <c r="A10" s="36" t="s">
        <v>61</v>
      </c>
      <c r="B10" s="37"/>
      <c r="C10" s="37"/>
      <c r="D10" s="36" t="s">
        <v>162</v>
      </c>
      <c r="E10" s="270">
        <v>0</v>
      </c>
      <c r="F10" s="270">
        <v>0</v>
      </c>
      <c r="G10" s="270">
        <v>0</v>
      </c>
      <c r="H10" s="270">
        <v>0</v>
      </c>
      <c r="I10" s="270">
        <v>0</v>
      </c>
      <c r="J10" s="270">
        <v>0</v>
      </c>
      <c r="K10" s="270">
        <v>0</v>
      </c>
      <c r="L10" s="270">
        <v>0</v>
      </c>
      <c r="M10" s="270">
        <v>0</v>
      </c>
      <c r="N10" s="270">
        <v>0</v>
      </c>
      <c r="O10" s="270">
        <v>0</v>
      </c>
      <c r="P10" s="270">
        <v>0</v>
      </c>
      <c r="Q10" s="270">
        <v>0</v>
      </c>
      <c r="R10" s="270">
        <v>0</v>
      </c>
      <c r="S10" s="270">
        <v>0</v>
      </c>
      <c r="T10" s="270">
        <v>0</v>
      </c>
      <c r="U10" s="270">
        <v>0</v>
      </c>
      <c r="V10" s="270">
        <v>0</v>
      </c>
      <c r="W10" s="270">
        <v>0</v>
      </c>
      <c r="X10" s="36"/>
    </row>
    <row r="11" spans="1:24" ht="45.75" customHeight="1">
      <c r="A11" s="36" t="s">
        <v>75</v>
      </c>
      <c r="B11" s="409"/>
      <c r="C11" s="409"/>
      <c r="D11" s="36" t="s">
        <v>163</v>
      </c>
      <c r="E11" s="278"/>
      <c r="F11" s="272">
        <f>SUM(F12:F15)</f>
        <v>1000000</v>
      </c>
      <c r="G11" s="272">
        <f>SUM(G12:G15)</f>
        <v>1000000</v>
      </c>
      <c r="H11" s="409"/>
      <c r="I11" s="330"/>
      <c r="J11" s="330"/>
      <c r="K11" s="330"/>
      <c r="L11" s="278"/>
      <c r="M11" s="272">
        <f>SUM(M12:M15)</f>
        <v>1000000</v>
      </c>
      <c r="N11" s="272">
        <f>SUM(N12:N15)</f>
        <v>1000000</v>
      </c>
      <c r="O11" s="409"/>
      <c r="P11" s="330"/>
      <c r="Q11" s="330"/>
      <c r="R11" s="330"/>
      <c r="S11" s="410"/>
      <c r="T11" s="410"/>
      <c r="U11" s="330"/>
      <c r="V11" s="272">
        <f>SUM(V12:V15)</f>
        <v>1000000</v>
      </c>
      <c r="W11" s="272">
        <f>SUM(W12:W15)</f>
        <v>1000000</v>
      </c>
      <c r="X11" s="330"/>
    </row>
    <row r="12" spans="1:24" ht="81" customHeight="1">
      <c r="A12" s="18">
        <v>1</v>
      </c>
      <c r="B12" s="193" t="s">
        <v>63</v>
      </c>
      <c r="C12" s="18" t="s">
        <v>164</v>
      </c>
      <c r="D12" s="49" t="s">
        <v>165</v>
      </c>
      <c r="E12" s="240"/>
      <c r="F12" s="137">
        <v>330000</v>
      </c>
      <c r="G12" s="137">
        <v>330000</v>
      </c>
      <c r="H12" s="18" t="s">
        <v>166</v>
      </c>
      <c r="I12" s="18" t="s">
        <v>167</v>
      </c>
      <c r="J12" s="18">
        <v>2026</v>
      </c>
      <c r="K12" s="18">
        <v>2029</v>
      </c>
      <c r="L12" s="240" t="s">
        <v>168</v>
      </c>
      <c r="M12" s="137">
        <f>N12</f>
        <v>330000</v>
      </c>
      <c r="N12" s="137">
        <f>G12</f>
        <v>330000</v>
      </c>
      <c r="O12" s="436" t="s">
        <v>169</v>
      </c>
      <c r="P12" s="282"/>
      <c r="Q12" s="282"/>
      <c r="R12" s="282"/>
      <c r="S12" s="282"/>
      <c r="T12" s="282"/>
      <c r="U12" s="282"/>
      <c r="V12" s="282">
        <f>W12</f>
        <v>330000</v>
      </c>
      <c r="W12" s="282">
        <f>N12</f>
        <v>330000</v>
      </c>
      <c r="X12" s="18" t="s">
        <v>170</v>
      </c>
    </row>
    <row r="13" spans="1:24" ht="79.5" customHeight="1">
      <c r="A13" s="18">
        <v>2</v>
      </c>
      <c r="B13" s="18" t="s">
        <v>63</v>
      </c>
      <c r="C13" s="18" t="s">
        <v>164</v>
      </c>
      <c r="D13" s="49" t="s">
        <v>171</v>
      </c>
      <c r="E13" s="240"/>
      <c r="F13" s="221">
        <v>195000</v>
      </c>
      <c r="G13" s="221">
        <v>195000</v>
      </c>
      <c r="H13" s="18" t="s">
        <v>166</v>
      </c>
      <c r="I13" s="18" t="s">
        <v>172</v>
      </c>
      <c r="J13" s="18">
        <v>2026</v>
      </c>
      <c r="K13" s="18">
        <v>2029</v>
      </c>
      <c r="L13" s="240" t="s">
        <v>168</v>
      </c>
      <c r="M13" s="137">
        <f>N13</f>
        <v>195000</v>
      </c>
      <c r="N13" s="137">
        <f>G13</f>
        <v>195000</v>
      </c>
      <c r="O13" s="18">
        <v>2026</v>
      </c>
      <c r="P13" s="282"/>
      <c r="Q13" s="282"/>
      <c r="R13" s="282"/>
      <c r="S13" s="282"/>
      <c r="T13" s="282"/>
      <c r="U13" s="282"/>
      <c r="V13" s="282">
        <f>W13</f>
        <v>195000</v>
      </c>
      <c r="W13" s="282">
        <f>N13</f>
        <v>195000</v>
      </c>
      <c r="X13" s="18" t="s">
        <v>173</v>
      </c>
    </row>
    <row r="14" spans="1:24" ht="79.5" customHeight="1">
      <c r="A14" s="18">
        <v>3</v>
      </c>
      <c r="B14" s="18" t="s">
        <v>174</v>
      </c>
      <c r="C14" s="18" t="s">
        <v>164</v>
      </c>
      <c r="D14" s="49" t="s">
        <v>175</v>
      </c>
      <c r="E14" s="240"/>
      <c r="F14" s="221">
        <v>25000</v>
      </c>
      <c r="G14" s="221">
        <v>25000</v>
      </c>
      <c r="H14" s="18" t="s">
        <v>176</v>
      </c>
      <c r="I14" s="18" t="s">
        <v>177</v>
      </c>
      <c r="J14" s="18">
        <v>2026</v>
      </c>
      <c r="K14" s="18">
        <v>2027</v>
      </c>
      <c r="L14" s="240" t="s">
        <v>168</v>
      </c>
      <c r="M14" s="137">
        <f>N14</f>
        <v>25000</v>
      </c>
      <c r="N14" s="137">
        <f>G14</f>
        <v>25000</v>
      </c>
      <c r="O14" s="18">
        <v>2026</v>
      </c>
      <c r="P14" s="282"/>
      <c r="Q14" s="282"/>
      <c r="R14" s="282"/>
      <c r="S14" s="282"/>
      <c r="T14" s="282"/>
      <c r="U14" s="282"/>
      <c r="V14" s="282">
        <f>W14</f>
        <v>25000</v>
      </c>
      <c r="W14" s="282">
        <f>N14</f>
        <v>25000</v>
      </c>
      <c r="X14" s="18"/>
    </row>
    <row r="15" spans="1:24" ht="79.5" customHeight="1">
      <c r="A15" s="18">
        <v>4</v>
      </c>
      <c r="B15" s="18" t="s">
        <v>63</v>
      </c>
      <c r="C15" s="18" t="s">
        <v>164</v>
      </c>
      <c r="D15" s="49" t="s">
        <v>178</v>
      </c>
      <c r="E15" s="240"/>
      <c r="F15" s="135">
        <v>450000</v>
      </c>
      <c r="G15" s="135">
        <v>450000</v>
      </c>
      <c r="H15" s="18" t="s">
        <v>166</v>
      </c>
      <c r="I15" s="18" t="s">
        <v>179</v>
      </c>
      <c r="J15" s="18">
        <v>2027</v>
      </c>
      <c r="K15" s="18">
        <v>2030</v>
      </c>
      <c r="L15" s="240" t="s">
        <v>180</v>
      </c>
      <c r="M15" s="137">
        <f>N15</f>
        <v>450000</v>
      </c>
      <c r="N15" s="137">
        <f>G15</f>
        <v>450000</v>
      </c>
      <c r="O15" s="18">
        <v>2027</v>
      </c>
      <c r="P15" s="282"/>
      <c r="Q15" s="282"/>
      <c r="R15" s="282"/>
      <c r="S15" s="282"/>
      <c r="T15" s="282"/>
      <c r="U15" s="282"/>
      <c r="V15" s="282">
        <f>W15</f>
        <v>450000</v>
      </c>
      <c r="W15" s="282">
        <f>N15</f>
        <v>450000</v>
      </c>
      <c r="X15" s="18" t="s">
        <v>173</v>
      </c>
    </row>
    <row r="17" spans="1:24" ht="67.5" hidden="1" customHeight="1">
      <c r="A17" s="266" t="s">
        <v>84</v>
      </c>
      <c r="B17" s="193"/>
      <c r="C17" s="193"/>
      <c r="D17" s="266" t="s">
        <v>181</v>
      </c>
      <c r="E17" s="268">
        <v>0</v>
      </c>
      <c r="F17" s="268">
        <v>0</v>
      </c>
      <c r="G17" s="268">
        <v>0</v>
      </c>
      <c r="H17" s="268">
        <v>0</v>
      </c>
      <c r="I17" s="268">
        <v>0</v>
      </c>
      <c r="J17" s="268">
        <v>0</v>
      </c>
      <c r="K17" s="268">
        <v>0</v>
      </c>
      <c r="L17" s="268">
        <v>0</v>
      </c>
      <c r="M17" s="268">
        <v>0</v>
      </c>
      <c r="N17" s="268">
        <v>0</v>
      </c>
      <c r="O17" s="268">
        <v>0</v>
      </c>
      <c r="P17" s="268">
        <v>0</v>
      </c>
      <c r="Q17" s="268">
        <v>0</v>
      </c>
      <c r="R17" s="268">
        <v>0</v>
      </c>
      <c r="S17" s="268">
        <v>0</v>
      </c>
      <c r="T17" s="268">
        <v>0</v>
      </c>
      <c r="U17" s="268">
        <v>0</v>
      </c>
      <c r="V17" s="268">
        <v>0</v>
      </c>
      <c r="W17" s="268">
        <v>0</v>
      </c>
      <c r="X17" s="18"/>
    </row>
  </sheetData>
  <mergeCells count="31">
    <mergeCell ref="X4:X7"/>
    <mergeCell ref="S5:S7"/>
    <mergeCell ref="T5:T7"/>
    <mergeCell ref="U5:U7"/>
    <mergeCell ref="V5:V7"/>
    <mergeCell ref="W5:W7"/>
    <mergeCell ref="E5:G5"/>
    <mergeCell ref="H5:N5"/>
    <mergeCell ref="F6:G6"/>
    <mergeCell ref="J6:K6"/>
    <mergeCell ref="M6:N6"/>
    <mergeCell ref="E6:E7"/>
    <mergeCell ref="H6:H7"/>
    <mergeCell ref="I6:I7"/>
    <mergeCell ref="L6:L7"/>
    <mergeCell ref="A1:X1"/>
    <mergeCell ref="A2:X2"/>
    <mergeCell ref="A3:X3"/>
    <mergeCell ref="E4:N4"/>
    <mergeCell ref="P4:Q4"/>
    <mergeCell ref="R4:S4"/>
    <mergeCell ref="T4:U4"/>
    <mergeCell ref="V4:W4"/>
    <mergeCell ref="A4:A7"/>
    <mergeCell ref="B4:B7"/>
    <mergeCell ref="C4:C7"/>
    <mergeCell ref="D4:D7"/>
    <mergeCell ref="O4:O7"/>
    <mergeCell ref="P5:P7"/>
    <mergeCell ref="Q5:Q7"/>
    <mergeCell ref="R5:R7"/>
  </mergeCells>
  <pageMargins left="0.22" right="0.21" top="0.39" bottom="0.45" header="0.22" footer="0.3"/>
  <pageSetup paperSize="8" scale="64" fitToHeight="0" orientation="landscape" r:id="rId1"/>
  <headerFooter differentFirst="1">
    <oddHeader>&amp;C&amp;P/&amp;N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WH300"/>
  <sheetViews>
    <sheetView zoomScale="70" zoomScaleNormal="70" workbookViewId="0">
      <selection activeCell="M11" sqref="M11"/>
    </sheetView>
  </sheetViews>
  <sheetFormatPr defaultColWidth="9" defaultRowHeight="18"/>
  <cols>
    <col min="1" max="1" width="5.1796875" style="377" customWidth="1"/>
    <col min="2" max="2" width="29.26953125" style="378" customWidth="1"/>
    <col min="3" max="3" width="8.54296875" style="378" customWidth="1"/>
    <col min="4" max="7" width="8.26953125" style="379" customWidth="1"/>
    <col min="8" max="8" width="11" style="380" customWidth="1"/>
    <col min="9" max="9" width="13" style="380" customWidth="1"/>
    <col min="10" max="10" width="9.7265625" style="380" customWidth="1"/>
    <col min="11" max="11" width="9.54296875" style="380" customWidth="1"/>
    <col min="12" max="12" width="12" style="380" customWidth="1"/>
    <col min="13" max="13" width="11.81640625" style="380" customWidth="1"/>
    <col min="14" max="14" width="11.7265625" style="380" customWidth="1"/>
    <col min="15" max="15" width="9.26953125" style="380" customWidth="1"/>
    <col min="16" max="16" width="8.1796875" style="380" customWidth="1"/>
    <col min="17" max="17" width="11.26953125" style="380" customWidth="1"/>
    <col min="18" max="18" width="10.26953125" style="380" customWidth="1"/>
    <col min="19" max="19" width="9.26953125" style="380" customWidth="1"/>
    <col min="20" max="20" width="8.1796875" style="380" customWidth="1"/>
    <col min="21" max="21" width="9.453125" style="380" customWidth="1"/>
    <col min="22" max="22" width="10.26953125" style="380" customWidth="1"/>
    <col min="23" max="23" width="12.54296875" style="380" customWidth="1"/>
    <col min="24" max="24" width="7.7265625" style="380" customWidth="1"/>
    <col min="25" max="25" width="11.26953125" style="380" customWidth="1"/>
    <col min="26" max="26" width="12.54296875" style="380" customWidth="1"/>
    <col min="27" max="27" width="8" style="380" customWidth="1"/>
    <col min="28" max="252" width="9.1796875" style="376"/>
    <col min="253" max="253" width="5.1796875" style="376" customWidth="1"/>
    <col min="254" max="254" width="29.26953125" style="376" customWidth="1"/>
    <col min="255" max="255" width="9" style="376" hidden="1" customWidth="1"/>
    <col min="256" max="259" width="8.26953125" style="376" customWidth="1"/>
    <col min="260" max="260" width="11" style="376" customWidth="1"/>
    <col min="261" max="261" width="13" style="376" customWidth="1"/>
    <col min="262" max="262" width="9.7265625" style="376" customWidth="1"/>
    <col min="263" max="263" width="9.54296875" style="376" customWidth="1"/>
    <col min="264" max="264" width="12" style="376" customWidth="1"/>
    <col min="265" max="265" width="11.81640625" style="376" customWidth="1"/>
    <col min="266" max="266" width="11.7265625" style="376" customWidth="1"/>
    <col min="267" max="267" width="9.26953125" style="376" customWidth="1"/>
    <col min="268" max="268" width="8.1796875" style="376" customWidth="1"/>
    <col min="269" max="269" width="11.26953125" style="376" customWidth="1"/>
    <col min="270" max="270" width="10.26953125" style="376" customWidth="1"/>
    <col min="271" max="271" width="9.26953125" style="376" customWidth="1"/>
    <col min="272" max="272" width="8.1796875" style="376" customWidth="1"/>
    <col min="273" max="273" width="9.453125" style="376" customWidth="1"/>
    <col min="274" max="274" width="10.26953125" style="376" customWidth="1"/>
    <col min="275" max="275" width="12.54296875" style="376" customWidth="1"/>
    <col min="276" max="276" width="7.7265625" style="376" customWidth="1"/>
    <col min="277" max="277" width="11.26953125" style="376" customWidth="1"/>
    <col min="278" max="278" width="12.54296875" style="376" customWidth="1"/>
    <col min="279" max="282" width="9" style="376" hidden="1" customWidth="1"/>
    <col min="283" max="283" width="8" style="376" customWidth="1"/>
    <col min="284" max="508" width="9.1796875" style="376"/>
    <col min="509" max="509" width="5.1796875" style="376" customWidth="1"/>
    <col min="510" max="510" width="29.26953125" style="376" customWidth="1"/>
    <col min="511" max="511" width="9" style="376" hidden="1" customWidth="1"/>
    <col min="512" max="515" width="8.26953125" style="376" customWidth="1"/>
    <col min="516" max="516" width="11" style="376" customWidth="1"/>
    <col min="517" max="517" width="13" style="376" customWidth="1"/>
    <col min="518" max="518" width="9.7265625" style="376" customWidth="1"/>
    <col min="519" max="519" width="9.54296875" style="376" customWidth="1"/>
    <col min="520" max="520" width="12" style="376" customWidth="1"/>
    <col min="521" max="521" width="11.81640625" style="376" customWidth="1"/>
    <col min="522" max="522" width="11.7265625" style="376" customWidth="1"/>
    <col min="523" max="523" width="9.26953125" style="376" customWidth="1"/>
    <col min="524" max="524" width="8.1796875" style="376" customWidth="1"/>
    <col min="525" max="525" width="11.26953125" style="376" customWidth="1"/>
    <col min="526" max="526" width="10.26953125" style="376" customWidth="1"/>
    <col min="527" max="527" width="9.26953125" style="376" customWidth="1"/>
    <col min="528" max="528" width="8.1796875" style="376" customWidth="1"/>
    <col min="529" max="529" width="9.453125" style="376" customWidth="1"/>
    <col min="530" max="530" width="10.26953125" style="376" customWidth="1"/>
    <col min="531" max="531" width="12.54296875" style="376" customWidth="1"/>
    <col min="532" max="532" width="7.7265625" style="376" customWidth="1"/>
    <col min="533" max="533" width="11.26953125" style="376" customWidth="1"/>
    <col min="534" max="534" width="12.54296875" style="376" customWidth="1"/>
    <col min="535" max="538" width="9" style="376" hidden="1" customWidth="1"/>
    <col min="539" max="539" width="8" style="376" customWidth="1"/>
    <col min="540" max="764" width="9.1796875" style="376"/>
    <col min="765" max="765" width="5.1796875" style="376" customWidth="1"/>
    <col min="766" max="766" width="29.26953125" style="376" customWidth="1"/>
    <col min="767" max="767" width="9" style="376" hidden="1" customWidth="1"/>
    <col min="768" max="771" width="8.26953125" style="376" customWidth="1"/>
    <col min="772" max="772" width="11" style="376" customWidth="1"/>
    <col min="773" max="773" width="13" style="376" customWidth="1"/>
    <col min="774" max="774" width="9.7265625" style="376" customWidth="1"/>
    <col min="775" max="775" width="9.54296875" style="376" customWidth="1"/>
    <col min="776" max="776" width="12" style="376" customWidth="1"/>
    <col min="777" max="777" width="11.81640625" style="376" customWidth="1"/>
    <col min="778" max="778" width="11.7265625" style="376" customWidth="1"/>
    <col min="779" max="779" width="9.26953125" style="376" customWidth="1"/>
    <col min="780" max="780" width="8.1796875" style="376" customWidth="1"/>
    <col min="781" max="781" width="11.26953125" style="376" customWidth="1"/>
    <col min="782" max="782" width="10.26953125" style="376" customWidth="1"/>
    <col min="783" max="783" width="9.26953125" style="376" customWidth="1"/>
    <col min="784" max="784" width="8.1796875" style="376" customWidth="1"/>
    <col min="785" max="785" width="9.453125" style="376" customWidth="1"/>
    <col min="786" max="786" width="10.26953125" style="376" customWidth="1"/>
    <col min="787" max="787" width="12.54296875" style="376" customWidth="1"/>
    <col min="788" max="788" width="7.7265625" style="376" customWidth="1"/>
    <col min="789" max="789" width="11.26953125" style="376" customWidth="1"/>
    <col min="790" max="790" width="12.54296875" style="376" customWidth="1"/>
    <col min="791" max="794" width="9" style="376" hidden="1" customWidth="1"/>
    <col min="795" max="795" width="8" style="376" customWidth="1"/>
    <col min="796" max="1020" width="9.1796875" style="376"/>
    <col min="1021" max="1021" width="5.1796875" style="376" customWidth="1"/>
    <col min="1022" max="1022" width="29.26953125" style="376" customWidth="1"/>
    <col min="1023" max="1023" width="9" style="376" hidden="1" customWidth="1"/>
    <col min="1024" max="1027" width="8.26953125" style="376" customWidth="1"/>
    <col min="1028" max="1028" width="11" style="376" customWidth="1"/>
    <col min="1029" max="1029" width="13" style="376" customWidth="1"/>
    <col min="1030" max="1030" width="9.7265625" style="376" customWidth="1"/>
    <col min="1031" max="1031" width="9.54296875" style="376" customWidth="1"/>
    <col min="1032" max="1032" width="12" style="376" customWidth="1"/>
    <col min="1033" max="1033" width="11.81640625" style="376" customWidth="1"/>
    <col min="1034" max="1034" width="11.7265625" style="376" customWidth="1"/>
    <col min="1035" max="1035" width="9.26953125" style="376" customWidth="1"/>
    <col min="1036" max="1036" width="8.1796875" style="376" customWidth="1"/>
    <col min="1037" max="1037" width="11.26953125" style="376" customWidth="1"/>
    <col min="1038" max="1038" width="10.26953125" style="376" customWidth="1"/>
    <col min="1039" max="1039" width="9.26953125" style="376" customWidth="1"/>
    <col min="1040" max="1040" width="8.1796875" style="376" customWidth="1"/>
    <col min="1041" max="1041" width="9.453125" style="376" customWidth="1"/>
    <col min="1042" max="1042" width="10.26953125" style="376" customWidth="1"/>
    <col min="1043" max="1043" width="12.54296875" style="376" customWidth="1"/>
    <col min="1044" max="1044" width="7.7265625" style="376" customWidth="1"/>
    <col min="1045" max="1045" width="11.26953125" style="376" customWidth="1"/>
    <col min="1046" max="1046" width="12.54296875" style="376" customWidth="1"/>
    <col min="1047" max="1050" width="9" style="376" hidden="1" customWidth="1"/>
    <col min="1051" max="1051" width="8" style="376" customWidth="1"/>
    <col min="1052" max="1276" width="9.1796875" style="376"/>
    <col min="1277" max="1277" width="5.1796875" style="376" customWidth="1"/>
    <col min="1278" max="1278" width="29.26953125" style="376" customWidth="1"/>
    <col min="1279" max="1279" width="9" style="376" hidden="1" customWidth="1"/>
    <col min="1280" max="1283" width="8.26953125" style="376" customWidth="1"/>
    <col min="1284" max="1284" width="11" style="376" customWidth="1"/>
    <col min="1285" max="1285" width="13" style="376" customWidth="1"/>
    <col min="1286" max="1286" width="9.7265625" style="376" customWidth="1"/>
    <col min="1287" max="1287" width="9.54296875" style="376" customWidth="1"/>
    <col min="1288" max="1288" width="12" style="376" customWidth="1"/>
    <col min="1289" max="1289" width="11.81640625" style="376" customWidth="1"/>
    <col min="1290" max="1290" width="11.7265625" style="376" customWidth="1"/>
    <col min="1291" max="1291" width="9.26953125" style="376" customWidth="1"/>
    <col min="1292" max="1292" width="8.1796875" style="376" customWidth="1"/>
    <col min="1293" max="1293" width="11.26953125" style="376" customWidth="1"/>
    <col min="1294" max="1294" width="10.26953125" style="376" customWidth="1"/>
    <col min="1295" max="1295" width="9.26953125" style="376" customWidth="1"/>
    <col min="1296" max="1296" width="8.1796875" style="376" customWidth="1"/>
    <col min="1297" max="1297" width="9.453125" style="376" customWidth="1"/>
    <col min="1298" max="1298" width="10.26953125" style="376" customWidth="1"/>
    <col min="1299" max="1299" width="12.54296875" style="376" customWidth="1"/>
    <col min="1300" max="1300" width="7.7265625" style="376" customWidth="1"/>
    <col min="1301" max="1301" width="11.26953125" style="376" customWidth="1"/>
    <col min="1302" max="1302" width="12.54296875" style="376" customWidth="1"/>
    <col min="1303" max="1306" width="9" style="376" hidden="1" customWidth="1"/>
    <col min="1307" max="1307" width="8" style="376" customWidth="1"/>
    <col min="1308" max="1532" width="9.1796875" style="376"/>
    <col min="1533" max="1533" width="5.1796875" style="376" customWidth="1"/>
    <col min="1534" max="1534" width="29.26953125" style="376" customWidth="1"/>
    <col min="1535" max="1535" width="9" style="376" hidden="1" customWidth="1"/>
    <col min="1536" max="1539" width="8.26953125" style="376" customWidth="1"/>
    <col min="1540" max="1540" width="11" style="376" customWidth="1"/>
    <col min="1541" max="1541" width="13" style="376" customWidth="1"/>
    <col min="1542" max="1542" width="9.7265625" style="376" customWidth="1"/>
    <col min="1543" max="1543" width="9.54296875" style="376" customWidth="1"/>
    <col min="1544" max="1544" width="12" style="376" customWidth="1"/>
    <col min="1545" max="1545" width="11.81640625" style="376" customWidth="1"/>
    <col min="1546" max="1546" width="11.7265625" style="376" customWidth="1"/>
    <col min="1547" max="1547" width="9.26953125" style="376" customWidth="1"/>
    <col min="1548" max="1548" width="8.1796875" style="376" customWidth="1"/>
    <col min="1549" max="1549" width="11.26953125" style="376" customWidth="1"/>
    <col min="1550" max="1550" width="10.26953125" style="376" customWidth="1"/>
    <col min="1551" max="1551" width="9.26953125" style="376" customWidth="1"/>
    <col min="1552" max="1552" width="8.1796875" style="376" customWidth="1"/>
    <col min="1553" max="1553" width="9.453125" style="376" customWidth="1"/>
    <col min="1554" max="1554" width="10.26953125" style="376" customWidth="1"/>
    <col min="1555" max="1555" width="12.54296875" style="376" customWidth="1"/>
    <col min="1556" max="1556" width="7.7265625" style="376" customWidth="1"/>
    <col min="1557" max="1557" width="11.26953125" style="376" customWidth="1"/>
    <col min="1558" max="1558" width="12.54296875" style="376" customWidth="1"/>
    <col min="1559" max="1562" width="9" style="376" hidden="1" customWidth="1"/>
    <col min="1563" max="1563" width="8" style="376" customWidth="1"/>
    <col min="1564" max="1788" width="9.1796875" style="376"/>
    <col min="1789" max="1789" width="5.1796875" style="376" customWidth="1"/>
    <col min="1790" max="1790" width="29.26953125" style="376" customWidth="1"/>
    <col min="1791" max="1791" width="9" style="376" hidden="1" customWidth="1"/>
    <col min="1792" max="1795" width="8.26953125" style="376" customWidth="1"/>
    <col min="1796" max="1796" width="11" style="376" customWidth="1"/>
    <col min="1797" max="1797" width="13" style="376" customWidth="1"/>
    <col min="1798" max="1798" width="9.7265625" style="376" customWidth="1"/>
    <col min="1799" max="1799" width="9.54296875" style="376" customWidth="1"/>
    <col min="1800" max="1800" width="12" style="376" customWidth="1"/>
    <col min="1801" max="1801" width="11.81640625" style="376" customWidth="1"/>
    <col min="1802" max="1802" width="11.7265625" style="376" customWidth="1"/>
    <col min="1803" max="1803" width="9.26953125" style="376" customWidth="1"/>
    <col min="1804" max="1804" width="8.1796875" style="376" customWidth="1"/>
    <col min="1805" max="1805" width="11.26953125" style="376" customWidth="1"/>
    <col min="1806" max="1806" width="10.26953125" style="376" customWidth="1"/>
    <col min="1807" max="1807" width="9.26953125" style="376" customWidth="1"/>
    <col min="1808" max="1808" width="8.1796875" style="376" customWidth="1"/>
    <col min="1809" max="1809" width="9.453125" style="376" customWidth="1"/>
    <col min="1810" max="1810" width="10.26953125" style="376" customWidth="1"/>
    <col min="1811" max="1811" width="12.54296875" style="376" customWidth="1"/>
    <col min="1812" max="1812" width="7.7265625" style="376" customWidth="1"/>
    <col min="1813" max="1813" width="11.26953125" style="376" customWidth="1"/>
    <col min="1814" max="1814" width="12.54296875" style="376" customWidth="1"/>
    <col min="1815" max="1818" width="9" style="376" hidden="1" customWidth="1"/>
    <col min="1819" max="1819" width="8" style="376" customWidth="1"/>
    <col min="1820" max="2044" width="9.1796875" style="376"/>
    <col min="2045" max="2045" width="5.1796875" style="376" customWidth="1"/>
    <col min="2046" max="2046" width="29.26953125" style="376" customWidth="1"/>
    <col min="2047" max="2047" width="9" style="376" hidden="1" customWidth="1"/>
    <col min="2048" max="2051" width="8.26953125" style="376" customWidth="1"/>
    <col min="2052" max="2052" width="11" style="376" customWidth="1"/>
    <col min="2053" max="2053" width="13" style="376" customWidth="1"/>
    <col min="2054" max="2054" width="9.7265625" style="376" customWidth="1"/>
    <col min="2055" max="2055" width="9.54296875" style="376" customWidth="1"/>
    <col min="2056" max="2056" width="12" style="376" customWidth="1"/>
    <col min="2057" max="2057" width="11.81640625" style="376" customWidth="1"/>
    <col min="2058" max="2058" width="11.7265625" style="376" customWidth="1"/>
    <col min="2059" max="2059" width="9.26953125" style="376" customWidth="1"/>
    <col min="2060" max="2060" width="8.1796875" style="376" customWidth="1"/>
    <col min="2061" max="2061" width="11.26953125" style="376" customWidth="1"/>
    <col min="2062" max="2062" width="10.26953125" style="376" customWidth="1"/>
    <col min="2063" max="2063" width="9.26953125" style="376" customWidth="1"/>
    <col min="2064" max="2064" width="8.1796875" style="376" customWidth="1"/>
    <col min="2065" max="2065" width="9.453125" style="376" customWidth="1"/>
    <col min="2066" max="2066" width="10.26953125" style="376" customWidth="1"/>
    <col min="2067" max="2067" width="12.54296875" style="376" customWidth="1"/>
    <col min="2068" max="2068" width="7.7265625" style="376" customWidth="1"/>
    <col min="2069" max="2069" width="11.26953125" style="376" customWidth="1"/>
    <col min="2070" max="2070" width="12.54296875" style="376" customWidth="1"/>
    <col min="2071" max="2074" width="9" style="376" hidden="1" customWidth="1"/>
    <col min="2075" max="2075" width="8" style="376" customWidth="1"/>
    <col min="2076" max="2300" width="9.1796875" style="376"/>
    <col min="2301" max="2301" width="5.1796875" style="376" customWidth="1"/>
    <col min="2302" max="2302" width="29.26953125" style="376" customWidth="1"/>
    <col min="2303" max="2303" width="9" style="376" hidden="1" customWidth="1"/>
    <col min="2304" max="2307" width="8.26953125" style="376" customWidth="1"/>
    <col min="2308" max="2308" width="11" style="376" customWidth="1"/>
    <col min="2309" max="2309" width="13" style="376" customWidth="1"/>
    <col min="2310" max="2310" width="9.7265625" style="376" customWidth="1"/>
    <col min="2311" max="2311" width="9.54296875" style="376" customWidth="1"/>
    <col min="2312" max="2312" width="12" style="376" customWidth="1"/>
    <col min="2313" max="2313" width="11.81640625" style="376" customWidth="1"/>
    <col min="2314" max="2314" width="11.7265625" style="376" customWidth="1"/>
    <col min="2315" max="2315" width="9.26953125" style="376" customWidth="1"/>
    <col min="2316" max="2316" width="8.1796875" style="376" customWidth="1"/>
    <col min="2317" max="2317" width="11.26953125" style="376" customWidth="1"/>
    <col min="2318" max="2318" width="10.26953125" style="376" customWidth="1"/>
    <col min="2319" max="2319" width="9.26953125" style="376" customWidth="1"/>
    <col min="2320" max="2320" width="8.1796875" style="376" customWidth="1"/>
    <col min="2321" max="2321" width="9.453125" style="376" customWidth="1"/>
    <col min="2322" max="2322" width="10.26953125" style="376" customWidth="1"/>
    <col min="2323" max="2323" width="12.54296875" style="376" customWidth="1"/>
    <col min="2324" max="2324" width="7.7265625" style="376" customWidth="1"/>
    <col min="2325" max="2325" width="11.26953125" style="376" customWidth="1"/>
    <col min="2326" max="2326" width="12.54296875" style="376" customWidth="1"/>
    <col min="2327" max="2330" width="9" style="376" hidden="1" customWidth="1"/>
    <col min="2331" max="2331" width="8" style="376" customWidth="1"/>
    <col min="2332" max="2556" width="9.1796875" style="376"/>
    <col min="2557" max="2557" width="5.1796875" style="376" customWidth="1"/>
    <col min="2558" max="2558" width="29.26953125" style="376" customWidth="1"/>
    <col min="2559" max="2559" width="9" style="376" hidden="1" customWidth="1"/>
    <col min="2560" max="2563" width="8.26953125" style="376" customWidth="1"/>
    <col min="2564" max="2564" width="11" style="376" customWidth="1"/>
    <col min="2565" max="2565" width="13" style="376" customWidth="1"/>
    <col min="2566" max="2566" width="9.7265625" style="376" customWidth="1"/>
    <col min="2567" max="2567" width="9.54296875" style="376" customWidth="1"/>
    <col min="2568" max="2568" width="12" style="376" customWidth="1"/>
    <col min="2569" max="2569" width="11.81640625" style="376" customWidth="1"/>
    <col min="2570" max="2570" width="11.7265625" style="376" customWidth="1"/>
    <col min="2571" max="2571" width="9.26953125" style="376" customWidth="1"/>
    <col min="2572" max="2572" width="8.1796875" style="376" customWidth="1"/>
    <col min="2573" max="2573" width="11.26953125" style="376" customWidth="1"/>
    <col min="2574" max="2574" width="10.26953125" style="376" customWidth="1"/>
    <col min="2575" max="2575" width="9.26953125" style="376" customWidth="1"/>
    <col min="2576" max="2576" width="8.1796875" style="376" customWidth="1"/>
    <col min="2577" max="2577" width="9.453125" style="376" customWidth="1"/>
    <col min="2578" max="2578" width="10.26953125" style="376" customWidth="1"/>
    <col min="2579" max="2579" width="12.54296875" style="376" customWidth="1"/>
    <col min="2580" max="2580" width="7.7265625" style="376" customWidth="1"/>
    <col min="2581" max="2581" width="11.26953125" style="376" customWidth="1"/>
    <col min="2582" max="2582" width="12.54296875" style="376" customWidth="1"/>
    <col min="2583" max="2586" width="9" style="376" hidden="1" customWidth="1"/>
    <col min="2587" max="2587" width="8" style="376" customWidth="1"/>
    <col min="2588" max="2812" width="9.1796875" style="376"/>
    <col min="2813" max="2813" width="5.1796875" style="376" customWidth="1"/>
    <col min="2814" max="2814" width="29.26953125" style="376" customWidth="1"/>
    <col min="2815" max="2815" width="9" style="376" hidden="1" customWidth="1"/>
    <col min="2816" max="2819" width="8.26953125" style="376" customWidth="1"/>
    <col min="2820" max="2820" width="11" style="376" customWidth="1"/>
    <col min="2821" max="2821" width="13" style="376" customWidth="1"/>
    <col min="2822" max="2822" width="9.7265625" style="376" customWidth="1"/>
    <col min="2823" max="2823" width="9.54296875" style="376" customWidth="1"/>
    <col min="2824" max="2824" width="12" style="376" customWidth="1"/>
    <col min="2825" max="2825" width="11.81640625" style="376" customWidth="1"/>
    <col min="2826" max="2826" width="11.7265625" style="376" customWidth="1"/>
    <col min="2827" max="2827" width="9.26953125" style="376" customWidth="1"/>
    <col min="2828" max="2828" width="8.1796875" style="376" customWidth="1"/>
    <col min="2829" max="2829" width="11.26953125" style="376" customWidth="1"/>
    <col min="2830" max="2830" width="10.26953125" style="376" customWidth="1"/>
    <col min="2831" max="2831" width="9.26953125" style="376" customWidth="1"/>
    <col min="2832" max="2832" width="8.1796875" style="376" customWidth="1"/>
    <col min="2833" max="2833" width="9.453125" style="376" customWidth="1"/>
    <col min="2834" max="2834" width="10.26953125" style="376" customWidth="1"/>
    <col min="2835" max="2835" width="12.54296875" style="376" customWidth="1"/>
    <col min="2836" max="2836" width="7.7265625" style="376" customWidth="1"/>
    <col min="2837" max="2837" width="11.26953125" style="376" customWidth="1"/>
    <col min="2838" max="2838" width="12.54296875" style="376" customWidth="1"/>
    <col min="2839" max="2842" width="9" style="376" hidden="1" customWidth="1"/>
    <col min="2843" max="2843" width="8" style="376" customWidth="1"/>
    <col min="2844" max="3068" width="9.1796875" style="376"/>
    <col min="3069" max="3069" width="5.1796875" style="376" customWidth="1"/>
    <col min="3070" max="3070" width="29.26953125" style="376" customWidth="1"/>
    <col min="3071" max="3071" width="9" style="376" hidden="1" customWidth="1"/>
    <col min="3072" max="3075" width="8.26953125" style="376" customWidth="1"/>
    <col min="3076" max="3076" width="11" style="376" customWidth="1"/>
    <col min="3077" max="3077" width="13" style="376" customWidth="1"/>
    <col min="3078" max="3078" width="9.7265625" style="376" customWidth="1"/>
    <col min="3079" max="3079" width="9.54296875" style="376" customWidth="1"/>
    <col min="3080" max="3080" width="12" style="376" customWidth="1"/>
    <col min="3081" max="3081" width="11.81640625" style="376" customWidth="1"/>
    <col min="3082" max="3082" width="11.7265625" style="376" customWidth="1"/>
    <col min="3083" max="3083" width="9.26953125" style="376" customWidth="1"/>
    <col min="3084" max="3084" width="8.1796875" style="376" customWidth="1"/>
    <col min="3085" max="3085" width="11.26953125" style="376" customWidth="1"/>
    <col min="3086" max="3086" width="10.26953125" style="376" customWidth="1"/>
    <col min="3087" max="3087" width="9.26953125" style="376" customWidth="1"/>
    <col min="3088" max="3088" width="8.1796875" style="376" customWidth="1"/>
    <col min="3089" max="3089" width="9.453125" style="376" customWidth="1"/>
    <col min="3090" max="3090" width="10.26953125" style="376" customWidth="1"/>
    <col min="3091" max="3091" width="12.54296875" style="376" customWidth="1"/>
    <col min="3092" max="3092" width="7.7265625" style="376" customWidth="1"/>
    <col min="3093" max="3093" width="11.26953125" style="376" customWidth="1"/>
    <col min="3094" max="3094" width="12.54296875" style="376" customWidth="1"/>
    <col min="3095" max="3098" width="9" style="376" hidden="1" customWidth="1"/>
    <col min="3099" max="3099" width="8" style="376" customWidth="1"/>
    <col min="3100" max="3324" width="9.1796875" style="376"/>
    <col min="3325" max="3325" width="5.1796875" style="376" customWidth="1"/>
    <col min="3326" max="3326" width="29.26953125" style="376" customWidth="1"/>
    <col min="3327" max="3327" width="9" style="376" hidden="1" customWidth="1"/>
    <col min="3328" max="3331" width="8.26953125" style="376" customWidth="1"/>
    <col min="3332" max="3332" width="11" style="376" customWidth="1"/>
    <col min="3333" max="3333" width="13" style="376" customWidth="1"/>
    <col min="3334" max="3334" width="9.7265625" style="376" customWidth="1"/>
    <col min="3335" max="3335" width="9.54296875" style="376" customWidth="1"/>
    <col min="3336" max="3336" width="12" style="376" customWidth="1"/>
    <col min="3337" max="3337" width="11.81640625" style="376" customWidth="1"/>
    <col min="3338" max="3338" width="11.7265625" style="376" customWidth="1"/>
    <col min="3339" max="3339" width="9.26953125" style="376" customWidth="1"/>
    <col min="3340" max="3340" width="8.1796875" style="376" customWidth="1"/>
    <col min="3341" max="3341" width="11.26953125" style="376" customWidth="1"/>
    <col min="3342" max="3342" width="10.26953125" style="376" customWidth="1"/>
    <col min="3343" max="3343" width="9.26953125" style="376" customWidth="1"/>
    <col min="3344" max="3344" width="8.1796875" style="376" customWidth="1"/>
    <col min="3345" max="3345" width="9.453125" style="376" customWidth="1"/>
    <col min="3346" max="3346" width="10.26953125" style="376" customWidth="1"/>
    <col min="3347" max="3347" width="12.54296875" style="376" customWidth="1"/>
    <col min="3348" max="3348" width="7.7265625" style="376" customWidth="1"/>
    <col min="3349" max="3349" width="11.26953125" style="376" customWidth="1"/>
    <col min="3350" max="3350" width="12.54296875" style="376" customWidth="1"/>
    <col min="3351" max="3354" width="9" style="376" hidden="1" customWidth="1"/>
    <col min="3355" max="3355" width="8" style="376" customWidth="1"/>
    <col min="3356" max="3580" width="9.1796875" style="376"/>
    <col min="3581" max="3581" width="5.1796875" style="376" customWidth="1"/>
    <col min="3582" max="3582" width="29.26953125" style="376" customWidth="1"/>
    <col min="3583" max="3583" width="9" style="376" hidden="1" customWidth="1"/>
    <col min="3584" max="3587" width="8.26953125" style="376" customWidth="1"/>
    <col min="3588" max="3588" width="11" style="376" customWidth="1"/>
    <col min="3589" max="3589" width="13" style="376" customWidth="1"/>
    <col min="3590" max="3590" width="9.7265625" style="376" customWidth="1"/>
    <col min="3591" max="3591" width="9.54296875" style="376" customWidth="1"/>
    <col min="3592" max="3592" width="12" style="376" customWidth="1"/>
    <col min="3593" max="3593" width="11.81640625" style="376" customWidth="1"/>
    <col min="3594" max="3594" width="11.7265625" style="376" customWidth="1"/>
    <col min="3595" max="3595" width="9.26953125" style="376" customWidth="1"/>
    <col min="3596" max="3596" width="8.1796875" style="376" customWidth="1"/>
    <col min="3597" max="3597" width="11.26953125" style="376" customWidth="1"/>
    <col min="3598" max="3598" width="10.26953125" style="376" customWidth="1"/>
    <col min="3599" max="3599" width="9.26953125" style="376" customWidth="1"/>
    <col min="3600" max="3600" width="8.1796875" style="376" customWidth="1"/>
    <col min="3601" max="3601" width="9.453125" style="376" customWidth="1"/>
    <col min="3602" max="3602" width="10.26953125" style="376" customWidth="1"/>
    <col min="3603" max="3603" width="12.54296875" style="376" customWidth="1"/>
    <col min="3604" max="3604" width="7.7265625" style="376" customWidth="1"/>
    <col min="3605" max="3605" width="11.26953125" style="376" customWidth="1"/>
    <col min="3606" max="3606" width="12.54296875" style="376" customWidth="1"/>
    <col min="3607" max="3610" width="9" style="376" hidden="1" customWidth="1"/>
    <col min="3611" max="3611" width="8" style="376" customWidth="1"/>
    <col min="3612" max="3836" width="9.1796875" style="376"/>
    <col min="3837" max="3837" width="5.1796875" style="376" customWidth="1"/>
    <col min="3838" max="3838" width="29.26953125" style="376" customWidth="1"/>
    <col min="3839" max="3839" width="9" style="376" hidden="1" customWidth="1"/>
    <col min="3840" max="3843" width="8.26953125" style="376" customWidth="1"/>
    <col min="3844" max="3844" width="11" style="376" customWidth="1"/>
    <col min="3845" max="3845" width="13" style="376" customWidth="1"/>
    <col min="3846" max="3846" width="9.7265625" style="376" customWidth="1"/>
    <col min="3847" max="3847" width="9.54296875" style="376" customWidth="1"/>
    <col min="3848" max="3848" width="12" style="376" customWidth="1"/>
    <col min="3849" max="3849" width="11.81640625" style="376" customWidth="1"/>
    <col min="3850" max="3850" width="11.7265625" style="376" customWidth="1"/>
    <col min="3851" max="3851" width="9.26953125" style="376" customWidth="1"/>
    <col min="3852" max="3852" width="8.1796875" style="376" customWidth="1"/>
    <col min="3853" max="3853" width="11.26953125" style="376" customWidth="1"/>
    <col min="3854" max="3854" width="10.26953125" style="376" customWidth="1"/>
    <col min="3855" max="3855" width="9.26953125" style="376" customWidth="1"/>
    <col min="3856" max="3856" width="8.1796875" style="376" customWidth="1"/>
    <col min="3857" max="3857" width="9.453125" style="376" customWidth="1"/>
    <col min="3858" max="3858" width="10.26953125" style="376" customWidth="1"/>
    <col min="3859" max="3859" width="12.54296875" style="376" customWidth="1"/>
    <col min="3860" max="3860" width="7.7265625" style="376" customWidth="1"/>
    <col min="3861" max="3861" width="11.26953125" style="376" customWidth="1"/>
    <col min="3862" max="3862" width="12.54296875" style="376" customWidth="1"/>
    <col min="3863" max="3866" width="9" style="376" hidden="1" customWidth="1"/>
    <col min="3867" max="3867" width="8" style="376" customWidth="1"/>
    <col min="3868" max="4092" width="9.1796875" style="376"/>
    <col min="4093" max="4093" width="5.1796875" style="376" customWidth="1"/>
    <col min="4094" max="4094" width="29.26953125" style="376" customWidth="1"/>
    <col min="4095" max="4095" width="9" style="376" hidden="1" customWidth="1"/>
    <col min="4096" max="4099" width="8.26953125" style="376" customWidth="1"/>
    <col min="4100" max="4100" width="11" style="376" customWidth="1"/>
    <col min="4101" max="4101" width="13" style="376" customWidth="1"/>
    <col min="4102" max="4102" width="9.7265625" style="376" customWidth="1"/>
    <col min="4103" max="4103" width="9.54296875" style="376" customWidth="1"/>
    <col min="4104" max="4104" width="12" style="376" customWidth="1"/>
    <col min="4105" max="4105" width="11.81640625" style="376" customWidth="1"/>
    <col min="4106" max="4106" width="11.7265625" style="376" customWidth="1"/>
    <col min="4107" max="4107" width="9.26953125" style="376" customWidth="1"/>
    <col min="4108" max="4108" width="8.1796875" style="376" customWidth="1"/>
    <col min="4109" max="4109" width="11.26953125" style="376" customWidth="1"/>
    <col min="4110" max="4110" width="10.26953125" style="376" customWidth="1"/>
    <col min="4111" max="4111" width="9.26953125" style="376" customWidth="1"/>
    <col min="4112" max="4112" width="8.1796875" style="376" customWidth="1"/>
    <col min="4113" max="4113" width="9.453125" style="376" customWidth="1"/>
    <col min="4114" max="4114" width="10.26953125" style="376" customWidth="1"/>
    <col min="4115" max="4115" width="12.54296875" style="376" customWidth="1"/>
    <col min="4116" max="4116" width="7.7265625" style="376" customWidth="1"/>
    <col min="4117" max="4117" width="11.26953125" style="376" customWidth="1"/>
    <col min="4118" max="4118" width="12.54296875" style="376" customWidth="1"/>
    <col min="4119" max="4122" width="9" style="376" hidden="1" customWidth="1"/>
    <col min="4123" max="4123" width="8" style="376" customWidth="1"/>
    <col min="4124" max="4348" width="9.1796875" style="376"/>
    <col min="4349" max="4349" width="5.1796875" style="376" customWidth="1"/>
    <col min="4350" max="4350" width="29.26953125" style="376" customWidth="1"/>
    <col min="4351" max="4351" width="9" style="376" hidden="1" customWidth="1"/>
    <col min="4352" max="4355" width="8.26953125" style="376" customWidth="1"/>
    <col min="4356" max="4356" width="11" style="376" customWidth="1"/>
    <col min="4357" max="4357" width="13" style="376" customWidth="1"/>
    <col min="4358" max="4358" width="9.7265625" style="376" customWidth="1"/>
    <col min="4359" max="4359" width="9.54296875" style="376" customWidth="1"/>
    <col min="4360" max="4360" width="12" style="376" customWidth="1"/>
    <col min="4361" max="4361" width="11.81640625" style="376" customWidth="1"/>
    <col min="4362" max="4362" width="11.7265625" style="376" customWidth="1"/>
    <col min="4363" max="4363" width="9.26953125" style="376" customWidth="1"/>
    <col min="4364" max="4364" width="8.1796875" style="376" customWidth="1"/>
    <col min="4365" max="4365" width="11.26953125" style="376" customWidth="1"/>
    <col min="4366" max="4366" width="10.26953125" style="376" customWidth="1"/>
    <col min="4367" max="4367" width="9.26953125" style="376" customWidth="1"/>
    <col min="4368" max="4368" width="8.1796875" style="376" customWidth="1"/>
    <col min="4369" max="4369" width="9.453125" style="376" customWidth="1"/>
    <col min="4370" max="4370" width="10.26953125" style="376" customWidth="1"/>
    <col min="4371" max="4371" width="12.54296875" style="376" customWidth="1"/>
    <col min="4372" max="4372" width="7.7265625" style="376" customWidth="1"/>
    <col min="4373" max="4373" width="11.26953125" style="376" customWidth="1"/>
    <col min="4374" max="4374" width="12.54296875" style="376" customWidth="1"/>
    <col min="4375" max="4378" width="9" style="376" hidden="1" customWidth="1"/>
    <col min="4379" max="4379" width="8" style="376" customWidth="1"/>
    <col min="4380" max="4604" width="9.1796875" style="376"/>
    <col min="4605" max="4605" width="5.1796875" style="376" customWidth="1"/>
    <col min="4606" max="4606" width="29.26953125" style="376" customWidth="1"/>
    <col min="4607" max="4607" width="9" style="376" hidden="1" customWidth="1"/>
    <col min="4608" max="4611" width="8.26953125" style="376" customWidth="1"/>
    <col min="4612" max="4612" width="11" style="376" customWidth="1"/>
    <col min="4613" max="4613" width="13" style="376" customWidth="1"/>
    <col min="4614" max="4614" width="9.7265625" style="376" customWidth="1"/>
    <col min="4615" max="4615" width="9.54296875" style="376" customWidth="1"/>
    <col min="4616" max="4616" width="12" style="376" customWidth="1"/>
    <col min="4617" max="4617" width="11.81640625" style="376" customWidth="1"/>
    <col min="4618" max="4618" width="11.7265625" style="376" customWidth="1"/>
    <col min="4619" max="4619" width="9.26953125" style="376" customWidth="1"/>
    <col min="4620" max="4620" width="8.1796875" style="376" customWidth="1"/>
    <col min="4621" max="4621" width="11.26953125" style="376" customWidth="1"/>
    <col min="4622" max="4622" width="10.26953125" style="376" customWidth="1"/>
    <col min="4623" max="4623" width="9.26953125" style="376" customWidth="1"/>
    <col min="4624" max="4624" width="8.1796875" style="376" customWidth="1"/>
    <col min="4625" max="4625" width="9.453125" style="376" customWidth="1"/>
    <col min="4626" max="4626" width="10.26953125" style="376" customWidth="1"/>
    <col min="4627" max="4627" width="12.54296875" style="376" customWidth="1"/>
    <col min="4628" max="4628" width="7.7265625" style="376" customWidth="1"/>
    <col min="4629" max="4629" width="11.26953125" style="376" customWidth="1"/>
    <col min="4630" max="4630" width="12.54296875" style="376" customWidth="1"/>
    <col min="4631" max="4634" width="9" style="376" hidden="1" customWidth="1"/>
    <col min="4635" max="4635" width="8" style="376" customWidth="1"/>
    <col min="4636" max="4860" width="9.1796875" style="376"/>
    <col min="4861" max="4861" width="5.1796875" style="376" customWidth="1"/>
    <col min="4862" max="4862" width="29.26953125" style="376" customWidth="1"/>
    <col min="4863" max="4863" width="9" style="376" hidden="1" customWidth="1"/>
    <col min="4864" max="4867" width="8.26953125" style="376" customWidth="1"/>
    <col min="4868" max="4868" width="11" style="376" customWidth="1"/>
    <col min="4869" max="4869" width="13" style="376" customWidth="1"/>
    <col min="4870" max="4870" width="9.7265625" style="376" customWidth="1"/>
    <col min="4871" max="4871" width="9.54296875" style="376" customWidth="1"/>
    <col min="4872" max="4872" width="12" style="376" customWidth="1"/>
    <col min="4873" max="4873" width="11.81640625" style="376" customWidth="1"/>
    <col min="4874" max="4874" width="11.7265625" style="376" customWidth="1"/>
    <col min="4875" max="4875" width="9.26953125" style="376" customWidth="1"/>
    <col min="4876" max="4876" width="8.1796875" style="376" customWidth="1"/>
    <col min="4877" max="4877" width="11.26953125" style="376" customWidth="1"/>
    <col min="4878" max="4878" width="10.26953125" style="376" customWidth="1"/>
    <col min="4879" max="4879" width="9.26953125" style="376" customWidth="1"/>
    <col min="4880" max="4880" width="8.1796875" style="376" customWidth="1"/>
    <col min="4881" max="4881" width="9.453125" style="376" customWidth="1"/>
    <col min="4882" max="4882" width="10.26953125" style="376" customWidth="1"/>
    <col min="4883" max="4883" width="12.54296875" style="376" customWidth="1"/>
    <col min="4884" max="4884" width="7.7265625" style="376" customWidth="1"/>
    <col min="4885" max="4885" width="11.26953125" style="376" customWidth="1"/>
    <col min="4886" max="4886" width="12.54296875" style="376" customWidth="1"/>
    <col min="4887" max="4890" width="9" style="376" hidden="1" customWidth="1"/>
    <col min="4891" max="4891" width="8" style="376" customWidth="1"/>
    <col min="4892" max="5116" width="9.1796875" style="376"/>
    <col min="5117" max="5117" width="5.1796875" style="376" customWidth="1"/>
    <col min="5118" max="5118" width="29.26953125" style="376" customWidth="1"/>
    <col min="5119" max="5119" width="9" style="376" hidden="1" customWidth="1"/>
    <col min="5120" max="5123" width="8.26953125" style="376" customWidth="1"/>
    <col min="5124" max="5124" width="11" style="376" customWidth="1"/>
    <col min="5125" max="5125" width="13" style="376" customWidth="1"/>
    <col min="5126" max="5126" width="9.7265625" style="376" customWidth="1"/>
    <col min="5127" max="5127" width="9.54296875" style="376" customWidth="1"/>
    <col min="5128" max="5128" width="12" style="376" customWidth="1"/>
    <col min="5129" max="5129" width="11.81640625" style="376" customWidth="1"/>
    <col min="5130" max="5130" width="11.7265625" style="376" customWidth="1"/>
    <col min="5131" max="5131" width="9.26953125" style="376" customWidth="1"/>
    <col min="5132" max="5132" width="8.1796875" style="376" customWidth="1"/>
    <col min="5133" max="5133" width="11.26953125" style="376" customWidth="1"/>
    <col min="5134" max="5134" width="10.26953125" style="376" customWidth="1"/>
    <col min="5135" max="5135" width="9.26953125" style="376" customWidth="1"/>
    <col min="5136" max="5136" width="8.1796875" style="376" customWidth="1"/>
    <col min="5137" max="5137" width="9.453125" style="376" customWidth="1"/>
    <col min="5138" max="5138" width="10.26953125" style="376" customWidth="1"/>
    <col min="5139" max="5139" width="12.54296875" style="376" customWidth="1"/>
    <col min="5140" max="5140" width="7.7265625" style="376" customWidth="1"/>
    <col min="5141" max="5141" width="11.26953125" style="376" customWidth="1"/>
    <col min="5142" max="5142" width="12.54296875" style="376" customWidth="1"/>
    <col min="5143" max="5146" width="9" style="376" hidden="1" customWidth="1"/>
    <col min="5147" max="5147" width="8" style="376" customWidth="1"/>
    <col min="5148" max="5372" width="9.1796875" style="376"/>
    <col min="5373" max="5373" width="5.1796875" style="376" customWidth="1"/>
    <col min="5374" max="5374" width="29.26953125" style="376" customWidth="1"/>
    <col min="5375" max="5375" width="9" style="376" hidden="1" customWidth="1"/>
    <col min="5376" max="5379" width="8.26953125" style="376" customWidth="1"/>
    <col min="5380" max="5380" width="11" style="376" customWidth="1"/>
    <col min="5381" max="5381" width="13" style="376" customWidth="1"/>
    <col min="5382" max="5382" width="9.7265625" style="376" customWidth="1"/>
    <col min="5383" max="5383" width="9.54296875" style="376" customWidth="1"/>
    <col min="5384" max="5384" width="12" style="376" customWidth="1"/>
    <col min="5385" max="5385" width="11.81640625" style="376" customWidth="1"/>
    <col min="5386" max="5386" width="11.7265625" style="376" customWidth="1"/>
    <col min="5387" max="5387" width="9.26953125" style="376" customWidth="1"/>
    <col min="5388" max="5388" width="8.1796875" style="376" customWidth="1"/>
    <col min="5389" max="5389" width="11.26953125" style="376" customWidth="1"/>
    <col min="5390" max="5390" width="10.26953125" style="376" customWidth="1"/>
    <col min="5391" max="5391" width="9.26953125" style="376" customWidth="1"/>
    <col min="5392" max="5392" width="8.1796875" style="376" customWidth="1"/>
    <col min="5393" max="5393" width="9.453125" style="376" customWidth="1"/>
    <col min="5394" max="5394" width="10.26953125" style="376" customWidth="1"/>
    <col min="5395" max="5395" width="12.54296875" style="376" customWidth="1"/>
    <col min="5396" max="5396" width="7.7265625" style="376" customWidth="1"/>
    <col min="5397" max="5397" width="11.26953125" style="376" customWidth="1"/>
    <col min="5398" max="5398" width="12.54296875" style="376" customWidth="1"/>
    <col min="5399" max="5402" width="9" style="376" hidden="1" customWidth="1"/>
    <col min="5403" max="5403" width="8" style="376" customWidth="1"/>
    <col min="5404" max="5628" width="9.1796875" style="376"/>
    <col min="5629" max="5629" width="5.1796875" style="376" customWidth="1"/>
    <col min="5630" max="5630" width="29.26953125" style="376" customWidth="1"/>
    <col min="5631" max="5631" width="9" style="376" hidden="1" customWidth="1"/>
    <col min="5632" max="5635" width="8.26953125" style="376" customWidth="1"/>
    <col min="5636" max="5636" width="11" style="376" customWidth="1"/>
    <col min="5637" max="5637" width="13" style="376" customWidth="1"/>
    <col min="5638" max="5638" width="9.7265625" style="376" customWidth="1"/>
    <col min="5639" max="5639" width="9.54296875" style="376" customWidth="1"/>
    <col min="5640" max="5640" width="12" style="376" customWidth="1"/>
    <col min="5641" max="5641" width="11.81640625" style="376" customWidth="1"/>
    <col min="5642" max="5642" width="11.7265625" style="376" customWidth="1"/>
    <col min="5643" max="5643" width="9.26953125" style="376" customWidth="1"/>
    <col min="5644" max="5644" width="8.1796875" style="376" customWidth="1"/>
    <col min="5645" max="5645" width="11.26953125" style="376" customWidth="1"/>
    <col min="5646" max="5646" width="10.26953125" style="376" customWidth="1"/>
    <col min="5647" max="5647" width="9.26953125" style="376" customWidth="1"/>
    <col min="5648" max="5648" width="8.1796875" style="376" customWidth="1"/>
    <col min="5649" max="5649" width="9.453125" style="376" customWidth="1"/>
    <col min="5650" max="5650" width="10.26953125" style="376" customWidth="1"/>
    <col min="5651" max="5651" width="12.54296875" style="376" customWidth="1"/>
    <col min="5652" max="5652" width="7.7265625" style="376" customWidth="1"/>
    <col min="5653" max="5653" width="11.26953125" style="376" customWidth="1"/>
    <col min="5654" max="5654" width="12.54296875" style="376" customWidth="1"/>
    <col min="5655" max="5658" width="9" style="376" hidden="1" customWidth="1"/>
    <col min="5659" max="5659" width="8" style="376" customWidth="1"/>
    <col min="5660" max="5884" width="9.1796875" style="376"/>
    <col min="5885" max="5885" width="5.1796875" style="376" customWidth="1"/>
    <col min="5886" max="5886" width="29.26953125" style="376" customWidth="1"/>
    <col min="5887" max="5887" width="9" style="376" hidden="1" customWidth="1"/>
    <col min="5888" max="5891" width="8.26953125" style="376" customWidth="1"/>
    <col min="5892" max="5892" width="11" style="376" customWidth="1"/>
    <col min="5893" max="5893" width="13" style="376" customWidth="1"/>
    <col min="5894" max="5894" width="9.7265625" style="376" customWidth="1"/>
    <col min="5895" max="5895" width="9.54296875" style="376" customWidth="1"/>
    <col min="5896" max="5896" width="12" style="376" customWidth="1"/>
    <col min="5897" max="5897" width="11.81640625" style="376" customWidth="1"/>
    <col min="5898" max="5898" width="11.7265625" style="376" customWidth="1"/>
    <col min="5899" max="5899" width="9.26953125" style="376" customWidth="1"/>
    <col min="5900" max="5900" width="8.1796875" style="376" customWidth="1"/>
    <col min="5901" max="5901" width="11.26953125" style="376" customWidth="1"/>
    <col min="5902" max="5902" width="10.26953125" style="376" customWidth="1"/>
    <col min="5903" max="5903" width="9.26953125" style="376" customWidth="1"/>
    <col min="5904" max="5904" width="8.1796875" style="376" customWidth="1"/>
    <col min="5905" max="5905" width="9.453125" style="376" customWidth="1"/>
    <col min="5906" max="5906" width="10.26953125" style="376" customWidth="1"/>
    <col min="5907" max="5907" width="12.54296875" style="376" customWidth="1"/>
    <col min="5908" max="5908" width="7.7265625" style="376" customWidth="1"/>
    <col min="5909" max="5909" width="11.26953125" style="376" customWidth="1"/>
    <col min="5910" max="5910" width="12.54296875" style="376" customWidth="1"/>
    <col min="5911" max="5914" width="9" style="376" hidden="1" customWidth="1"/>
    <col min="5915" max="5915" width="8" style="376" customWidth="1"/>
    <col min="5916" max="6140" width="9.1796875" style="376"/>
    <col min="6141" max="6141" width="5.1796875" style="376" customWidth="1"/>
    <col min="6142" max="6142" width="29.26953125" style="376" customWidth="1"/>
    <col min="6143" max="6143" width="9" style="376" hidden="1" customWidth="1"/>
    <col min="6144" max="6147" width="8.26953125" style="376" customWidth="1"/>
    <col min="6148" max="6148" width="11" style="376" customWidth="1"/>
    <col min="6149" max="6149" width="13" style="376" customWidth="1"/>
    <col min="6150" max="6150" width="9.7265625" style="376" customWidth="1"/>
    <col min="6151" max="6151" width="9.54296875" style="376" customWidth="1"/>
    <col min="6152" max="6152" width="12" style="376" customWidth="1"/>
    <col min="6153" max="6153" width="11.81640625" style="376" customWidth="1"/>
    <col min="6154" max="6154" width="11.7265625" style="376" customWidth="1"/>
    <col min="6155" max="6155" width="9.26953125" style="376" customWidth="1"/>
    <col min="6156" max="6156" width="8.1796875" style="376" customWidth="1"/>
    <col min="6157" max="6157" width="11.26953125" style="376" customWidth="1"/>
    <col min="6158" max="6158" width="10.26953125" style="376" customWidth="1"/>
    <col min="6159" max="6159" width="9.26953125" style="376" customWidth="1"/>
    <col min="6160" max="6160" width="8.1796875" style="376" customWidth="1"/>
    <col min="6161" max="6161" width="9.453125" style="376" customWidth="1"/>
    <col min="6162" max="6162" width="10.26953125" style="376" customWidth="1"/>
    <col min="6163" max="6163" width="12.54296875" style="376" customWidth="1"/>
    <col min="6164" max="6164" width="7.7265625" style="376" customWidth="1"/>
    <col min="6165" max="6165" width="11.26953125" style="376" customWidth="1"/>
    <col min="6166" max="6166" width="12.54296875" style="376" customWidth="1"/>
    <col min="6167" max="6170" width="9" style="376" hidden="1" customWidth="1"/>
    <col min="6171" max="6171" width="8" style="376" customWidth="1"/>
    <col min="6172" max="6396" width="9.1796875" style="376"/>
    <col min="6397" max="6397" width="5.1796875" style="376" customWidth="1"/>
    <col min="6398" max="6398" width="29.26953125" style="376" customWidth="1"/>
    <col min="6399" max="6399" width="9" style="376" hidden="1" customWidth="1"/>
    <col min="6400" max="6403" width="8.26953125" style="376" customWidth="1"/>
    <col min="6404" max="6404" width="11" style="376" customWidth="1"/>
    <col min="6405" max="6405" width="13" style="376" customWidth="1"/>
    <col min="6406" max="6406" width="9.7265625" style="376" customWidth="1"/>
    <col min="6407" max="6407" width="9.54296875" style="376" customWidth="1"/>
    <col min="6408" max="6408" width="12" style="376" customWidth="1"/>
    <col min="6409" max="6409" width="11.81640625" style="376" customWidth="1"/>
    <col min="6410" max="6410" width="11.7265625" style="376" customWidth="1"/>
    <col min="6411" max="6411" width="9.26953125" style="376" customWidth="1"/>
    <col min="6412" max="6412" width="8.1796875" style="376" customWidth="1"/>
    <col min="6413" max="6413" width="11.26953125" style="376" customWidth="1"/>
    <col min="6414" max="6414" width="10.26953125" style="376" customWidth="1"/>
    <col min="6415" max="6415" width="9.26953125" style="376" customWidth="1"/>
    <col min="6416" max="6416" width="8.1796875" style="376" customWidth="1"/>
    <col min="6417" max="6417" width="9.453125" style="376" customWidth="1"/>
    <col min="6418" max="6418" width="10.26953125" style="376" customWidth="1"/>
    <col min="6419" max="6419" width="12.54296875" style="376" customWidth="1"/>
    <col min="6420" max="6420" width="7.7265625" style="376" customWidth="1"/>
    <col min="6421" max="6421" width="11.26953125" style="376" customWidth="1"/>
    <col min="6422" max="6422" width="12.54296875" style="376" customWidth="1"/>
    <col min="6423" max="6426" width="9" style="376" hidden="1" customWidth="1"/>
    <col min="6427" max="6427" width="8" style="376" customWidth="1"/>
    <col min="6428" max="6652" width="9.1796875" style="376"/>
    <col min="6653" max="6653" width="5.1796875" style="376" customWidth="1"/>
    <col min="6654" max="6654" width="29.26953125" style="376" customWidth="1"/>
    <col min="6655" max="6655" width="9" style="376" hidden="1" customWidth="1"/>
    <col min="6656" max="6659" width="8.26953125" style="376" customWidth="1"/>
    <col min="6660" max="6660" width="11" style="376" customWidth="1"/>
    <col min="6661" max="6661" width="13" style="376" customWidth="1"/>
    <col min="6662" max="6662" width="9.7265625" style="376" customWidth="1"/>
    <col min="6663" max="6663" width="9.54296875" style="376" customWidth="1"/>
    <col min="6664" max="6664" width="12" style="376" customWidth="1"/>
    <col min="6665" max="6665" width="11.81640625" style="376" customWidth="1"/>
    <col min="6666" max="6666" width="11.7265625" style="376" customWidth="1"/>
    <col min="6667" max="6667" width="9.26953125" style="376" customWidth="1"/>
    <col min="6668" max="6668" width="8.1796875" style="376" customWidth="1"/>
    <col min="6669" max="6669" width="11.26953125" style="376" customWidth="1"/>
    <col min="6670" max="6670" width="10.26953125" style="376" customWidth="1"/>
    <col min="6671" max="6671" width="9.26953125" style="376" customWidth="1"/>
    <col min="6672" max="6672" width="8.1796875" style="376" customWidth="1"/>
    <col min="6673" max="6673" width="9.453125" style="376" customWidth="1"/>
    <col min="6674" max="6674" width="10.26953125" style="376" customWidth="1"/>
    <col min="6675" max="6675" width="12.54296875" style="376" customWidth="1"/>
    <col min="6676" max="6676" width="7.7265625" style="376" customWidth="1"/>
    <col min="6677" max="6677" width="11.26953125" style="376" customWidth="1"/>
    <col min="6678" max="6678" width="12.54296875" style="376" customWidth="1"/>
    <col min="6679" max="6682" width="9" style="376" hidden="1" customWidth="1"/>
    <col min="6683" max="6683" width="8" style="376" customWidth="1"/>
    <col min="6684" max="6908" width="9.1796875" style="376"/>
    <col min="6909" max="6909" width="5.1796875" style="376" customWidth="1"/>
    <col min="6910" max="6910" width="29.26953125" style="376" customWidth="1"/>
    <col min="6911" max="6911" width="9" style="376" hidden="1" customWidth="1"/>
    <col min="6912" max="6915" width="8.26953125" style="376" customWidth="1"/>
    <col min="6916" max="6916" width="11" style="376" customWidth="1"/>
    <col min="6917" max="6917" width="13" style="376" customWidth="1"/>
    <col min="6918" max="6918" width="9.7265625" style="376" customWidth="1"/>
    <col min="6919" max="6919" width="9.54296875" style="376" customWidth="1"/>
    <col min="6920" max="6920" width="12" style="376" customWidth="1"/>
    <col min="6921" max="6921" width="11.81640625" style="376" customWidth="1"/>
    <col min="6922" max="6922" width="11.7265625" style="376" customWidth="1"/>
    <col min="6923" max="6923" width="9.26953125" style="376" customWidth="1"/>
    <col min="6924" max="6924" width="8.1796875" style="376" customWidth="1"/>
    <col min="6925" max="6925" width="11.26953125" style="376" customWidth="1"/>
    <col min="6926" max="6926" width="10.26953125" style="376" customWidth="1"/>
    <col min="6927" max="6927" width="9.26953125" style="376" customWidth="1"/>
    <col min="6928" max="6928" width="8.1796875" style="376" customWidth="1"/>
    <col min="6929" max="6929" width="9.453125" style="376" customWidth="1"/>
    <col min="6930" max="6930" width="10.26953125" style="376" customWidth="1"/>
    <col min="6931" max="6931" width="12.54296875" style="376" customWidth="1"/>
    <col min="6932" max="6932" width="7.7265625" style="376" customWidth="1"/>
    <col min="6933" max="6933" width="11.26953125" style="376" customWidth="1"/>
    <col min="6934" max="6934" width="12.54296875" style="376" customWidth="1"/>
    <col min="6935" max="6938" width="9" style="376" hidden="1" customWidth="1"/>
    <col min="6939" max="6939" width="8" style="376" customWidth="1"/>
    <col min="6940" max="7164" width="9.1796875" style="376"/>
    <col min="7165" max="7165" width="5.1796875" style="376" customWidth="1"/>
    <col min="7166" max="7166" width="29.26953125" style="376" customWidth="1"/>
    <col min="7167" max="7167" width="9" style="376" hidden="1" customWidth="1"/>
    <col min="7168" max="7171" width="8.26953125" style="376" customWidth="1"/>
    <col min="7172" max="7172" width="11" style="376" customWidth="1"/>
    <col min="7173" max="7173" width="13" style="376" customWidth="1"/>
    <col min="7174" max="7174" width="9.7265625" style="376" customWidth="1"/>
    <col min="7175" max="7175" width="9.54296875" style="376" customWidth="1"/>
    <col min="7176" max="7176" width="12" style="376" customWidth="1"/>
    <col min="7177" max="7177" width="11.81640625" style="376" customWidth="1"/>
    <col min="7178" max="7178" width="11.7265625" style="376" customWidth="1"/>
    <col min="7179" max="7179" width="9.26953125" style="376" customWidth="1"/>
    <col min="7180" max="7180" width="8.1796875" style="376" customWidth="1"/>
    <col min="7181" max="7181" width="11.26953125" style="376" customWidth="1"/>
    <col min="7182" max="7182" width="10.26953125" style="376" customWidth="1"/>
    <col min="7183" max="7183" width="9.26953125" style="376" customWidth="1"/>
    <col min="7184" max="7184" width="8.1796875" style="376" customWidth="1"/>
    <col min="7185" max="7185" width="9.453125" style="376" customWidth="1"/>
    <col min="7186" max="7186" width="10.26953125" style="376" customWidth="1"/>
    <col min="7187" max="7187" width="12.54296875" style="376" customWidth="1"/>
    <col min="7188" max="7188" width="7.7265625" style="376" customWidth="1"/>
    <col min="7189" max="7189" width="11.26953125" style="376" customWidth="1"/>
    <col min="7190" max="7190" width="12.54296875" style="376" customWidth="1"/>
    <col min="7191" max="7194" width="9" style="376" hidden="1" customWidth="1"/>
    <col min="7195" max="7195" width="8" style="376" customWidth="1"/>
    <col min="7196" max="7420" width="9.1796875" style="376"/>
    <col min="7421" max="7421" width="5.1796875" style="376" customWidth="1"/>
    <col min="7422" max="7422" width="29.26953125" style="376" customWidth="1"/>
    <col min="7423" max="7423" width="9" style="376" hidden="1" customWidth="1"/>
    <col min="7424" max="7427" width="8.26953125" style="376" customWidth="1"/>
    <col min="7428" max="7428" width="11" style="376" customWidth="1"/>
    <col min="7429" max="7429" width="13" style="376" customWidth="1"/>
    <col min="7430" max="7430" width="9.7265625" style="376" customWidth="1"/>
    <col min="7431" max="7431" width="9.54296875" style="376" customWidth="1"/>
    <col min="7432" max="7432" width="12" style="376" customWidth="1"/>
    <col min="7433" max="7433" width="11.81640625" style="376" customWidth="1"/>
    <col min="7434" max="7434" width="11.7265625" style="376" customWidth="1"/>
    <col min="7435" max="7435" width="9.26953125" style="376" customWidth="1"/>
    <col min="7436" max="7436" width="8.1796875" style="376" customWidth="1"/>
    <col min="7437" max="7437" width="11.26953125" style="376" customWidth="1"/>
    <col min="7438" max="7438" width="10.26953125" style="376" customWidth="1"/>
    <col min="7439" max="7439" width="9.26953125" style="376" customWidth="1"/>
    <col min="7440" max="7440" width="8.1796875" style="376" customWidth="1"/>
    <col min="7441" max="7441" width="9.453125" style="376" customWidth="1"/>
    <col min="7442" max="7442" width="10.26953125" style="376" customWidth="1"/>
    <col min="7443" max="7443" width="12.54296875" style="376" customWidth="1"/>
    <col min="7444" max="7444" width="7.7265625" style="376" customWidth="1"/>
    <col min="7445" max="7445" width="11.26953125" style="376" customWidth="1"/>
    <col min="7446" max="7446" width="12.54296875" style="376" customWidth="1"/>
    <col min="7447" max="7450" width="9" style="376" hidden="1" customWidth="1"/>
    <col min="7451" max="7451" width="8" style="376" customWidth="1"/>
    <col min="7452" max="7676" width="9.1796875" style="376"/>
    <col min="7677" max="7677" width="5.1796875" style="376" customWidth="1"/>
    <col min="7678" max="7678" width="29.26953125" style="376" customWidth="1"/>
    <col min="7679" max="7679" width="9" style="376" hidden="1" customWidth="1"/>
    <col min="7680" max="7683" width="8.26953125" style="376" customWidth="1"/>
    <col min="7684" max="7684" width="11" style="376" customWidth="1"/>
    <col min="7685" max="7685" width="13" style="376" customWidth="1"/>
    <col min="7686" max="7686" width="9.7265625" style="376" customWidth="1"/>
    <col min="7687" max="7687" width="9.54296875" style="376" customWidth="1"/>
    <col min="7688" max="7688" width="12" style="376" customWidth="1"/>
    <col min="7689" max="7689" width="11.81640625" style="376" customWidth="1"/>
    <col min="7690" max="7690" width="11.7265625" style="376" customWidth="1"/>
    <col min="7691" max="7691" width="9.26953125" style="376" customWidth="1"/>
    <col min="7692" max="7692" width="8.1796875" style="376" customWidth="1"/>
    <col min="7693" max="7693" width="11.26953125" style="376" customWidth="1"/>
    <col min="7694" max="7694" width="10.26953125" style="376" customWidth="1"/>
    <col min="7695" max="7695" width="9.26953125" style="376" customWidth="1"/>
    <col min="7696" max="7696" width="8.1796875" style="376" customWidth="1"/>
    <col min="7697" max="7697" width="9.453125" style="376" customWidth="1"/>
    <col min="7698" max="7698" width="10.26953125" style="376" customWidth="1"/>
    <col min="7699" max="7699" width="12.54296875" style="376" customWidth="1"/>
    <col min="7700" max="7700" width="7.7265625" style="376" customWidth="1"/>
    <col min="7701" max="7701" width="11.26953125" style="376" customWidth="1"/>
    <col min="7702" max="7702" width="12.54296875" style="376" customWidth="1"/>
    <col min="7703" max="7706" width="9" style="376" hidden="1" customWidth="1"/>
    <col min="7707" max="7707" width="8" style="376" customWidth="1"/>
    <col min="7708" max="7932" width="9.1796875" style="376"/>
    <col min="7933" max="7933" width="5.1796875" style="376" customWidth="1"/>
    <col min="7934" max="7934" width="29.26953125" style="376" customWidth="1"/>
    <col min="7935" max="7935" width="9" style="376" hidden="1" customWidth="1"/>
    <col min="7936" max="7939" width="8.26953125" style="376" customWidth="1"/>
    <col min="7940" max="7940" width="11" style="376" customWidth="1"/>
    <col min="7941" max="7941" width="13" style="376" customWidth="1"/>
    <col min="7942" max="7942" width="9.7265625" style="376" customWidth="1"/>
    <col min="7943" max="7943" width="9.54296875" style="376" customWidth="1"/>
    <col min="7944" max="7944" width="12" style="376" customWidth="1"/>
    <col min="7945" max="7945" width="11.81640625" style="376" customWidth="1"/>
    <col min="7946" max="7946" width="11.7265625" style="376" customWidth="1"/>
    <col min="7947" max="7947" width="9.26953125" style="376" customWidth="1"/>
    <col min="7948" max="7948" width="8.1796875" style="376" customWidth="1"/>
    <col min="7949" max="7949" width="11.26953125" style="376" customWidth="1"/>
    <col min="7950" max="7950" width="10.26953125" style="376" customWidth="1"/>
    <col min="7951" max="7951" width="9.26953125" style="376" customWidth="1"/>
    <col min="7952" max="7952" width="8.1796875" style="376" customWidth="1"/>
    <col min="7953" max="7953" width="9.453125" style="376" customWidth="1"/>
    <col min="7954" max="7954" width="10.26953125" style="376" customWidth="1"/>
    <col min="7955" max="7955" width="12.54296875" style="376" customWidth="1"/>
    <col min="7956" max="7956" width="7.7265625" style="376" customWidth="1"/>
    <col min="7957" max="7957" width="11.26953125" style="376" customWidth="1"/>
    <col min="7958" max="7958" width="12.54296875" style="376" customWidth="1"/>
    <col min="7959" max="7962" width="9" style="376" hidden="1" customWidth="1"/>
    <col min="7963" max="7963" width="8" style="376" customWidth="1"/>
    <col min="7964" max="8188" width="9.1796875" style="376"/>
    <col min="8189" max="8189" width="5.1796875" style="376" customWidth="1"/>
    <col min="8190" max="8190" width="29.26953125" style="376" customWidth="1"/>
    <col min="8191" max="8191" width="9" style="376" hidden="1" customWidth="1"/>
    <col min="8192" max="8195" width="8.26953125" style="376" customWidth="1"/>
    <col min="8196" max="8196" width="11" style="376" customWidth="1"/>
    <col min="8197" max="8197" width="13" style="376" customWidth="1"/>
    <col min="8198" max="8198" width="9.7265625" style="376" customWidth="1"/>
    <col min="8199" max="8199" width="9.54296875" style="376" customWidth="1"/>
    <col min="8200" max="8200" width="12" style="376" customWidth="1"/>
    <col min="8201" max="8201" width="11.81640625" style="376" customWidth="1"/>
    <col min="8202" max="8202" width="11.7265625" style="376" customWidth="1"/>
    <col min="8203" max="8203" width="9.26953125" style="376" customWidth="1"/>
    <col min="8204" max="8204" width="8.1796875" style="376" customWidth="1"/>
    <col min="8205" max="8205" width="11.26953125" style="376" customWidth="1"/>
    <col min="8206" max="8206" width="10.26953125" style="376" customWidth="1"/>
    <col min="8207" max="8207" width="9.26953125" style="376" customWidth="1"/>
    <col min="8208" max="8208" width="8.1796875" style="376" customWidth="1"/>
    <col min="8209" max="8209" width="9.453125" style="376" customWidth="1"/>
    <col min="8210" max="8210" width="10.26953125" style="376" customWidth="1"/>
    <col min="8211" max="8211" width="12.54296875" style="376" customWidth="1"/>
    <col min="8212" max="8212" width="7.7265625" style="376" customWidth="1"/>
    <col min="8213" max="8213" width="11.26953125" style="376" customWidth="1"/>
    <col min="8214" max="8214" width="12.54296875" style="376" customWidth="1"/>
    <col min="8215" max="8218" width="9" style="376" hidden="1" customWidth="1"/>
    <col min="8219" max="8219" width="8" style="376" customWidth="1"/>
    <col min="8220" max="8444" width="9.1796875" style="376"/>
    <col min="8445" max="8445" width="5.1796875" style="376" customWidth="1"/>
    <col min="8446" max="8446" width="29.26953125" style="376" customWidth="1"/>
    <col min="8447" max="8447" width="9" style="376" hidden="1" customWidth="1"/>
    <col min="8448" max="8451" width="8.26953125" style="376" customWidth="1"/>
    <col min="8452" max="8452" width="11" style="376" customWidth="1"/>
    <col min="8453" max="8453" width="13" style="376" customWidth="1"/>
    <col min="8454" max="8454" width="9.7265625" style="376" customWidth="1"/>
    <col min="8455" max="8455" width="9.54296875" style="376" customWidth="1"/>
    <col min="8456" max="8456" width="12" style="376" customWidth="1"/>
    <col min="8457" max="8457" width="11.81640625" style="376" customWidth="1"/>
    <col min="8458" max="8458" width="11.7265625" style="376" customWidth="1"/>
    <col min="8459" max="8459" width="9.26953125" style="376" customWidth="1"/>
    <col min="8460" max="8460" width="8.1796875" style="376" customWidth="1"/>
    <col min="8461" max="8461" width="11.26953125" style="376" customWidth="1"/>
    <col min="8462" max="8462" width="10.26953125" style="376" customWidth="1"/>
    <col min="8463" max="8463" width="9.26953125" style="376" customWidth="1"/>
    <col min="8464" max="8464" width="8.1796875" style="376" customWidth="1"/>
    <col min="8465" max="8465" width="9.453125" style="376" customWidth="1"/>
    <col min="8466" max="8466" width="10.26953125" style="376" customWidth="1"/>
    <col min="8467" max="8467" width="12.54296875" style="376" customWidth="1"/>
    <col min="8468" max="8468" width="7.7265625" style="376" customWidth="1"/>
    <col min="8469" max="8469" width="11.26953125" style="376" customWidth="1"/>
    <col min="8470" max="8470" width="12.54296875" style="376" customWidth="1"/>
    <col min="8471" max="8474" width="9" style="376" hidden="1" customWidth="1"/>
    <col min="8475" max="8475" width="8" style="376" customWidth="1"/>
    <col min="8476" max="8700" width="9.1796875" style="376"/>
    <col min="8701" max="8701" width="5.1796875" style="376" customWidth="1"/>
    <col min="8702" max="8702" width="29.26953125" style="376" customWidth="1"/>
    <col min="8703" max="8703" width="9" style="376" hidden="1" customWidth="1"/>
    <col min="8704" max="8707" width="8.26953125" style="376" customWidth="1"/>
    <col min="8708" max="8708" width="11" style="376" customWidth="1"/>
    <col min="8709" max="8709" width="13" style="376" customWidth="1"/>
    <col min="8710" max="8710" width="9.7265625" style="376" customWidth="1"/>
    <col min="8711" max="8711" width="9.54296875" style="376" customWidth="1"/>
    <col min="8712" max="8712" width="12" style="376" customWidth="1"/>
    <col min="8713" max="8713" width="11.81640625" style="376" customWidth="1"/>
    <col min="8714" max="8714" width="11.7265625" style="376" customWidth="1"/>
    <col min="8715" max="8715" width="9.26953125" style="376" customWidth="1"/>
    <col min="8716" max="8716" width="8.1796875" style="376" customWidth="1"/>
    <col min="8717" max="8717" width="11.26953125" style="376" customWidth="1"/>
    <col min="8718" max="8718" width="10.26953125" style="376" customWidth="1"/>
    <col min="8719" max="8719" width="9.26953125" style="376" customWidth="1"/>
    <col min="8720" max="8720" width="8.1796875" style="376" customWidth="1"/>
    <col min="8721" max="8721" width="9.453125" style="376" customWidth="1"/>
    <col min="8722" max="8722" width="10.26953125" style="376" customWidth="1"/>
    <col min="8723" max="8723" width="12.54296875" style="376" customWidth="1"/>
    <col min="8724" max="8724" width="7.7265625" style="376" customWidth="1"/>
    <col min="8725" max="8725" width="11.26953125" style="376" customWidth="1"/>
    <col min="8726" max="8726" width="12.54296875" style="376" customWidth="1"/>
    <col min="8727" max="8730" width="9" style="376" hidden="1" customWidth="1"/>
    <col min="8731" max="8731" width="8" style="376" customWidth="1"/>
    <col min="8732" max="8956" width="9.1796875" style="376"/>
    <col min="8957" max="8957" width="5.1796875" style="376" customWidth="1"/>
    <col min="8958" max="8958" width="29.26953125" style="376" customWidth="1"/>
    <col min="8959" max="8959" width="9" style="376" hidden="1" customWidth="1"/>
    <col min="8960" max="8963" width="8.26953125" style="376" customWidth="1"/>
    <col min="8964" max="8964" width="11" style="376" customWidth="1"/>
    <col min="8965" max="8965" width="13" style="376" customWidth="1"/>
    <col min="8966" max="8966" width="9.7265625" style="376" customWidth="1"/>
    <col min="8967" max="8967" width="9.54296875" style="376" customWidth="1"/>
    <col min="8968" max="8968" width="12" style="376" customWidth="1"/>
    <col min="8969" max="8969" width="11.81640625" style="376" customWidth="1"/>
    <col min="8970" max="8970" width="11.7265625" style="376" customWidth="1"/>
    <col min="8971" max="8971" width="9.26953125" style="376" customWidth="1"/>
    <col min="8972" max="8972" width="8.1796875" style="376" customWidth="1"/>
    <col min="8973" max="8973" width="11.26953125" style="376" customWidth="1"/>
    <col min="8974" max="8974" width="10.26953125" style="376" customWidth="1"/>
    <col min="8975" max="8975" width="9.26953125" style="376" customWidth="1"/>
    <col min="8976" max="8976" width="8.1796875" style="376" customWidth="1"/>
    <col min="8977" max="8977" width="9.453125" style="376" customWidth="1"/>
    <col min="8978" max="8978" width="10.26953125" style="376" customWidth="1"/>
    <col min="8979" max="8979" width="12.54296875" style="376" customWidth="1"/>
    <col min="8980" max="8980" width="7.7265625" style="376" customWidth="1"/>
    <col min="8981" max="8981" width="11.26953125" style="376" customWidth="1"/>
    <col min="8982" max="8982" width="12.54296875" style="376" customWidth="1"/>
    <col min="8983" max="8986" width="9" style="376" hidden="1" customWidth="1"/>
    <col min="8987" max="8987" width="8" style="376" customWidth="1"/>
    <col min="8988" max="9212" width="9.1796875" style="376"/>
    <col min="9213" max="9213" width="5.1796875" style="376" customWidth="1"/>
    <col min="9214" max="9214" width="29.26953125" style="376" customWidth="1"/>
    <col min="9215" max="9215" width="9" style="376" hidden="1" customWidth="1"/>
    <col min="9216" max="9219" width="8.26953125" style="376" customWidth="1"/>
    <col min="9220" max="9220" width="11" style="376" customWidth="1"/>
    <col min="9221" max="9221" width="13" style="376" customWidth="1"/>
    <col min="9222" max="9222" width="9.7265625" style="376" customWidth="1"/>
    <col min="9223" max="9223" width="9.54296875" style="376" customWidth="1"/>
    <col min="9224" max="9224" width="12" style="376" customWidth="1"/>
    <col min="9225" max="9225" width="11.81640625" style="376" customWidth="1"/>
    <col min="9226" max="9226" width="11.7265625" style="376" customWidth="1"/>
    <col min="9227" max="9227" width="9.26953125" style="376" customWidth="1"/>
    <col min="9228" max="9228" width="8.1796875" style="376" customWidth="1"/>
    <col min="9229" max="9229" width="11.26953125" style="376" customWidth="1"/>
    <col min="9230" max="9230" width="10.26953125" style="376" customWidth="1"/>
    <col min="9231" max="9231" width="9.26953125" style="376" customWidth="1"/>
    <col min="9232" max="9232" width="8.1796875" style="376" customWidth="1"/>
    <col min="9233" max="9233" width="9.453125" style="376" customWidth="1"/>
    <col min="9234" max="9234" width="10.26953125" style="376" customWidth="1"/>
    <col min="9235" max="9235" width="12.54296875" style="376" customWidth="1"/>
    <col min="9236" max="9236" width="7.7265625" style="376" customWidth="1"/>
    <col min="9237" max="9237" width="11.26953125" style="376" customWidth="1"/>
    <col min="9238" max="9238" width="12.54296875" style="376" customWidth="1"/>
    <col min="9239" max="9242" width="9" style="376" hidden="1" customWidth="1"/>
    <col min="9243" max="9243" width="8" style="376" customWidth="1"/>
    <col min="9244" max="9468" width="9.1796875" style="376"/>
    <col min="9469" max="9469" width="5.1796875" style="376" customWidth="1"/>
    <col min="9470" max="9470" width="29.26953125" style="376" customWidth="1"/>
    <col min="9471" max="9471" width="9" style="376" hidden="1" customWidth="1"/>
    <col min="9472" max="9475" width="8.26953125" style="376" customWidth="1"/>
    <col min="9476" max="9476" width="11" style="376" customWidth="1"/>
    <col min="9477" max="9477" width="13" style="376" customWidth="1"/>
    <col min="9478" max="9478" width="9.7265625" style="376" customWidth="1"/>
    <col min="9479" max="9479" width="9.54296875" style="376" customWidth="1"/>
    <col min="9480" max="9480" width="12" style="376" customWidth="1"/>
    <col min="9481" max="9481" width="11.81640625" style="376" customWidth="1"/>
    <col min="9482" max="9482" width="11.7265625" style="376" customWidth="1"/>
    <col min="9483" max="9483" width="9.26953125" style="376" customWidth="1"/>
    <col min="9484" max="9484" width="8.1796875" style="376" customWidth="1"/>
    <col min="9485" max="9485" width="11.26953125" style="376" customWidth="1"/>
    <col min="9486" max="9486" width="10.26953125" style="376" customWidth="1"/>
    <col min="9487" max="9487" width="9.26953125" style="376" customWidth="1"/>
    <col min="9488" max="9488" width="8.1796875" style="376" customWidth="1"/>
    <col min="9489" max="9489" width="9.453125" style="376" customWidth="1"/>
    <col min="9490" max="9490" width="10.26953125" style="376" customWidth="1"/>
    <col min="9491" max="9491" width="12.54296875" style="376" customWidth="1"/>
    <col min="9492" max="9492" width="7.7265625" style="376" customWidth="1"/>
    <col min="9493" max="9493" width="11.26953125" style="376" customWidth="1"/>
    <col min="9494" max="9494" width="12.54296875" style="376" customWidth="1"/>
    <col min="9495" max="9498" width="9" style="376" hidden="1" customWidth="1"/>
    <col min="9499" max="9499" width="8" style="376" customWidth="1"/>
    <col min="9500" max="9724" width="9.1796875" style="376"/>
    <col min="9725" max="9725" width="5.1796875" style="376" customWidth="1"/>
    <col min="9726" max="9726" width="29.26953125" style="376" customWidth="1"/>
    <col min="9727" max="9727" width="9" style="376" hidden="1" customWidth="1"/>
    <col min="9728" max="9731" width="8.26953125" style="376" customWidth="1"/>
    <col min="9732" max="9732" width="11" style="376" customWidth="1"/>
    <col min="9733" max="9733" width="13" style="376" customWidth="1"/>
    <col min="9734" max="9734" width="9.7265625" style="376" customWidth="1"/>
    <col min="9735" max="9735" width="9.54296875" style="376" customWidth="1"/>
    <col min="9736" max="9736" width="12" style="376" customWidth="1"/>
    <col min="9737" max="9737" width="11.81640625" style="376" customWidth="1"/>
    <col min="9738" max="9738" width="11.7265625" style="376" customWidth="1"/>
    <col min="9739" max="9739" width="9.26953125" style="376" customWidth="1"/>
    <col min="9740" max="9740" width="8.1796875" style="376" customWidth="1"/>
    <col min="9741" max="9741" width="11.26953125" style="376" customWidth="1"/>
    <col min="9742" max="9742" width="10.26953125" style="376" customWidth="1"/>
    <col min="9743" max="9743" width="9.26953125" style="376" customWidth="1"/>
    <col min="9744" max="9744" width="8.1796875" style="376" customWidth="1"/>
    <col min="9745" max="9745" width="9.453125" style="376" customWidth="1"/>
    <col min="9746" max="9746" width="10.26953125" style="376" customWidth="1"/>
    <col min="9747" max="9747" width="12.54296875" style="376" customWidth="1"/>
    <col min="9748" max="9748" width="7.7265625" style="376" customWidth="1"/>
    <col min="9749" max="9749" width="11.26953125" style="376" customWidth="1"/>
    <col min="9750" max="9750" width="12.54296875" style="376" customWidth="1"/>
    <col min="9751" max="9754" width="9" style="376" hidden="1" customWidth="1"/>
    <col min="9755" max="9755" width="8" style="376" customWidth="1"/>
    <col min="9756" max="9980" width="9.1796875" style="376"/>
    <col min="9981" max="9981" width="5.1796875" style="376" customWidth="1"/>
    <col min="9982" max="9982" width="29.26953125" style="376" customWidth="1"/>
    <col min="9983" max="9983" width="9" style="376" hidden="1" customWidth="1"/>
    <col min="9984" max="9987" width="8.26953125" style="376" customWidth="1"/>
    <col min="9988" max="9988" width="11" style="376" customWidth="1"/>
    <col min="9989" max="9989" width="13" style="376" customWidth="1"/>
    <col min="9990" max="9990" width="9.7265625" style="376" customWidth="1"/>
    <col min="9991" max="9991" width="9.54296875" style="376" customWidth="1"/>
    <col min="9992" max="9992" width="12" style="376" customWidth="1"/>
    <col min="9993" max="9993" width="11.81640625" style="376" customWidth="1"/>
    <col min="9994" max="9994" width="11.7265625" style="376" customWidth="1"/>
    <col min="9995" max="9995" width="9.26953125" style="376" customWidth="1"/>
    <col min="9996" max="9996" width="8.1796875" style="376" customWidth="1"/>
    <col min="9997" max="9997" width="11.26953125" style="376" customWidth="1"/>
    <col min="9998" max="9998" width="10.26953125" style="376" customWidth="1"/>
    <col min="9999" max="9999" width="9.26953125" style="376" customWidth="1"/>
    <col min="10000" max="10000" width="8.1796875" style="376" customWidth="1"/>
    <col min="10001" max="10001" width="9.453125" style="376" customWidth="1"/>
    <col min="10002" max="10002" width="10.26953125" style="376" customWidth="1"/>
    <col min="10003" max="10003" width="12.54296875" style="376" customWidth="1"/>
    <col min="10004" max="10004" width="7.7265625" style="376" customWidth="1"/>
    <col min="10005" max="10005" width="11.26953125" style="376" customWidth="1"/>
    <col min="10006" max="10006" width="12.54296875" style="376" customWidth="1"/>
    <col min="10007" max="10010" width="9" style="376" hidden="1" customWidth="1"/>
    <col min="10011" max="10011" width="8" style="376" customWidth="1"/>
    <col min="10012" max="10236" width="9.1796875" style="376"/>
    <col min="10237" max="10237" width="5.1796875" style="376" customWidth="1"/>
    <col min="10238" max="10238" width="29.26953125" style="376" customWidth="1"/>
    <col min="10239" max="10239" width="9" style="376" hidden="1" customWidth="1"/>
    <col min="10240" max="10243" width="8.26953125" style="376" customWidth="1"/>
    <col min="10244" max="10244" width="11" style="376" customWidth="1"/>
    <col min="10245" max="10245" width="13" style="376" customWidth="1"/>
    <col min="10246" max="10246" width="9.7265625" style="376" customWidth="1"/>
    <col min="10247" max="10247" width="9.54296875" style="376" customWidth="1"/>
    <col min="10248" max="10248" width="12" style="376" customWidth="1"/>
    <col min="10249" max="10249" width="11.81640625" style="376" customWidth="1"/>
    <col min="10250" max="10250" width="11.7265625" style="376" customWidth="1"/>
    <col min="10251" max="10251" width="9.26953125" style="376" customWidth="1"/>
    <col min="10252" max="10252" width="8.1796875" style="376" customWidth="1"/>
    <col min="10253" max="10253" width="11.26953125" style="376" customWidth="1"/>
    <col min="10254" max="10254" width="10.26953125" style="376" customWidth="1"/>
    <col min="10255" max="10255" width="9.26953125" style="376" customWidth="1"/>
    <col min="10256" max="10256" width="8.1796875" style="376" customWidth="1"/>
    <col min="10257" max="10257" width="9.453125" style="376" customWidth="1"/>
    <col min="10258" max="10258" width="10.26953125" style="376" customWidth="1"/>
    <col min="10259" max="10259" width="12.54296875" style="376" customWidth="1"/>
    <col min="10260" max="10260" width="7.7265625" style="376" customWidth="1"/>
    <col min="10261" max="10261" width="11.26953125" style="376" customWidth="1"/>
    <col min="10262" max="10262" width="12.54296875" style="376" customWidth="1"/>
    <col min="10263" max="10266" width="9" style="376" hidden="1" customWidth="1"/>
    <col min="10267" max="10267" width="8" style="376" customWidth="1"/>
    <col min="10268" max="10492" width="9.1796875" style="376"/>
    <col min="10493" max="10493" width="5.1796875" style="376" customWidth="1"/>
    <col min="10494" max="10494" width="29.26953125" style="376" customWidth="1"/>
    <col min="10495" max="10495" width="9" style="376" hidden="1" customWidth="1"/>
    <col min="10496" max="10499" width="8.26953125" style="376" customWidth="1"/>
    <col min="10500" max="10500" width="11" style="376" customWidth="1"/>
    <col min="10501" max="10501" width="13" style="376" customWidth="1"/>
    <col min="10502" max="10502" width="9.7265625" style="376" customWidth="1"/>
    <col min="10503" max="10503" width="9.54296875" style="376" customWidth="1"/>
    <col min="10504" max="10504" width="12" style="376" customWidth="1"/>
    <col min="10505" max="10505" width="11.81640625" style="376" customWidth="1"/>
    <col min="10506" max="10506" width="11.7265625" style="376" customWidth="1"/>
    <col min="10507" max="10507" width="9.26953125" style="376" customWidth="1"/>
    <col min="10508" max="10508" width="8.1796875" style="376" customWidth="1"/>
    <col min="10509" max="10509" width="11.26953125" style="376" customWidth="1"/>
    <col min="10510" max="10510" width="10.26953125" style="376" customWidth="1"/>
    <col min="10511" max="10511" width="9.26953125" style="376" customWidth="1"/>
    <col min="10512" max="10512" width="8.1796875" style="376" customWidth="1"/>
    <col min="10513" max="10513" width="9.453125" style="376" customWidth="1"/>
    <col min="10514" max="10514" width="10.26953125" style="376" customWidth="1"/>
    <col min="10515" max="10515" width="12.54296875" style="376" customWidth="1"/>
    <col min="10516" max="10516" width="7.7265625" style="376" customWidth="1"/>
    <col min="10517" max="10517" width="11.26953125" style="376" customWidth="1"/>
    <col min="10518" max="10518" width="12.54296875" style="376" customWidth="1"/>
    <col min="10519" max="10522" width="9" style="376" hidden="1" customWidth="1"/>
    <col min="10523" max="10523" width="8" style="376" customWidth="1"/>
    <col min="10524" max="10748" width="9.1796875" style="376"/>
    <col min="10749" max="10749" width="5.1796875" style="376" customWidth="1"/>
    <col min="10750" max="10750" width="29.26953125" style="376" customWidth="1"/>
    <col min="10751" max="10751" width="9" style="376" hidden="1" customWidth="1"/>
    <col min="10752" max="10755" width="8.26953125" style="376" customWidth="1"/>
    <col min="10756" max="10756" width="11" style="376" customWidth="1"/>
    <col min="10757" max="10757" width="13" style="376" customWidth="1"/>
    <col min="10758" max="10758" width="9.7265625" style="376" customWidth="1"/>
    <col min="10759" max="10759" width="9.54296875" style="376" customWidth="1"/>
    <col min="10760" max="10760" width="12" style="376" customWidth="1"/>
    <col min="10761" max="10761" width="11.81640625" style="376" customWidth="1"/>
    <col min="10762" max="10762" width="11.7265625" style="376" customWidth="1"/>
    <col min="10763" max="10763" width="9.26953125" style="376" customWidth="1"/>
    <col min="10764" max="10764" width="8.1796875" style="376" customWidth="1"/>
    <col min="10765" max="10765" width="11.26953125" style="376" customWidth="1"/>
    <col min="10766" max="10766" width="10.26953125" style="376" customWidth="1"/>
    <col min="10767" max="10767" width="9.26953125" style="376" customWidth="1"/>
    <col min="10768" max="10768" width="8.1796875" style="376" customWidth="1"/>
    <col min="10769" max="10769" width="9.453125" style="376" customWidth="1"/>
    <col min="10770" max="10770" width="10.26953125" style="376" customWidth="1"/>
    <col min="10771" max="10771" width="12.54296875" style="376" customWidth="1"/>
    <col min="10772" max="10772" width="7.7265625" style="376" customWidth="1"/>
    <col min="10773" max="10773" width="11.26953125" style="376" customWidth="1"/>
    <col min="10774" max="10774" width="12.54296875" style="376" customWidth="1"/>
    <col min="10775" max="10778" width="9" style="376" hidden="1" customWidth="1"/>
    <col min="10779" max="10779" width="8" style="376" customWidth="1"/>
    <col min="10780" max="11004" width="9.1796875" style="376"/>
    <col min="11005" max="11005" width="5.1796875" style="376" customWidth="1"/>
    <col min="11006" max="11006" width="29.26953125" style="376" customWidth="1"/>
    <col min="11007" max="11007" width="9" style="376" hidden="1" customWidth="1"/>
    <col min="11008" max="11011" width="8.26953125" style="376" customWidth="1"/>
    <col min="11012" max="11012" width="11" style="376" customWidth="1"/>
    <col min="11013" max="11013" width="13" style="376" customWidth="1"/>
    <col min="11014" max="11014" width="9.7265625" style="376" customWidth="1"/>
    <col min="11015" max="11015" width="9.54296875" style="376" customWidth="1"/>
    <col min="11016" max="11016" width="12" style="376" customWidth="1"/>
    <col min="11017" max="11017" width="11.81640625" style="376" customWidth="1"/>
    <col min="11018" max="11018" width="11.7265625" style="376" customWidth="1"/>
    <col min="11019" max="11019" width="9.26953125" style="376" customWidth="1"/>
    <col min="11020" max="11020" width="8.1796875" style="376" customWidth="1"/>
    <col min="11021" max="11021" width="11.26953125" style="376" customWidth="1"/>
    <col min="11022" max="11022" width="10.26953125" style="376" customWidth="1"/>
    <col min="11023" max="11023" width="9.26953125" style="376" customWidth="1"/>
    <col min="11024" max="11024" width="8.1796875" style="376" customWidth="1"/>
    <col min="11025" max="11025" width="9.453125" style="376" customWidth="1"/>
    <col min="11026" max="11026" width="10.26953125" style="376" customWidth="1"/>
    <col min="11027" max="11027" width="12.54296875" style="376" customWidth="1"/>
    <col min="11028" max="11028" width="7.7265625" style="376" customWidth="1"/>
    <col min="11029" max="11029" width="11.26953125" style="376" customWidth="1"/>
    <col min="11030" max="11030" width="12.54296875" style="376" customWidth="1"/>
    <col min="11031" max="11034" width="9" style="376" hidden="1" customWidth="1"/>
    <col min="11035" max="11035" width="8" style="376" customWidth="1"/>
    <col min="11036" max="11260" width="9.1796875" style="376"/>
    <col min="11261" max="11261" width="5.1796875" style="376" customWidth="1"/>
    <col min="11262" max="11262" width="29.26953125" style="376" customWidth="1"/>
    <col min="11263" max="11263" width="9" style="376" hidden="1" customWidth="1"/>
    <col min="11264" max="11267" width="8.26953125" style="376" customWidth="1"/>
    <col min="11268" max="11268" width="11" style="376" customWidth="1"/>
    <col min="11269" max="11269" width="13" style="376" customWidth="1"/>
    <col min="11270" max="11270" width="9.7265625" style="376" customWidth="1"/>
    <col min="11271" max="11271" width="9.54296875" style="376" customWidth="1"/>
    <col min="11272" max="11272" width="12" style="376" customWidth="1"/>
    <col min="11273" max="11273" width="11.81640625" style="376" customWidth="1"/>
    <col min="11274" max="11274" width="11.7265625" style="376" customWidth="1"/>
    <col min="11275" max="11275" width="9.26953125" style="376" customWidth="1"/>
    <col min="11276" max="11276" width="8.1796875" style="376" customWidth="1"/>
    <col min="11277" max="11277" width="11.26953125" style="376" customWidth="1"/>
    <col min="11278" max="11278" width="10.26953125" style="376" customWidth="1"/>
    <col min="11279" max="11279" width="9.26953125" style="376" customWidth="1"/>
    <col min="11280" max="11280" width="8.1796875" style="376" customWidth="1"/>
    <col min="11281" max="11281" width="9.453125" style="376" customWidth="1"/>
    <col min="11282" max="11282" width="10.26953125" style="376" customWidth="1"/>
    <col min="11283" max="11283" width="12.54296875" style="376" customWidth="1"/>
    <col min="11284" max="11284" width="7.7265625" style="376" customWidth="1"/>
    <col min="11285" max="11285" width="11.26953125" style="376" customWidth="1"/>
    <col min="11286" max="11286" width="12.54296875" style="376" customWidth="1"/>
    <col min="11287" max="11290" width="9" style="376" hidden="1" customWidth="1"/>
    <col min="11291" max="11291" width="8" style="376" customWidth="1"/>
    <col min="11292" max="11516" width="9.1796875" style="376"/>
    <col min="11517" max="11517" width="5.1796875" style="376" customWidth="1"/>
    <col min="11518" max="11518" width="29.26953125" style="376" customWidth="1"/>
    <col min="11519" max="11519" width="9" style="376" hidden="1" customWidth="1"/>
    <col min="11520" max="11523" width="8.26953125" style="376" customWidth="1"/>
    <col min="11524" max="11524" width="11" style="376" customWidth="1"/>
    <col min="11525" max="11525" width="13" style="376" customWidth="1"/>
    <col min="11526" max="11526" width="9.7265625" style="376" customWidth="1"/>
    <col min="11527" max="11527" width="9.54296875" style="376" customWidth="1"/>
    <col min="11528" max="11528" width="12" style="376" customWidth="1"/>
    <col min="11529" max="11529" width="11.81640625" style="376" customWidth="1"/>
    <col min="11530" max="11530" width="11.7265625" style="376" customWidth="1"/>
    <col min="11531" max="11531" width="9.26953125" style="376" customWidth="1"/>
    <col min="11532" max="11532" width="8.1796875" style="376" customWidth="1"/>
    <col min="11533" max="11533" width="11.26953125" style="376" customWidth="1"/>
    <col min="11534" max="11534" width="10.26953125" style="376" customWidth="1"/>
    <col min="11535" max="11535" width="9.26953125" style="376" customWidth="1"/>
    <col min="11536" max="11536" width="8.1796875" style="376" customWidth="1"/>
    <col min="11537" max="11537" width="9.453125" style="376" customWidth="1"/>
    <col min="11538" max="11538" width="10.26953125" style="376" customWidth="1"/>
    <col min="11539" max="11539" width="12.54296875" style="376" customWidth="1"/>
    <col min="11540" max="11540" width="7.7265625" style="376" customWidth="1"/>
    <col min="11541" max="11541" width="11.26953125" style="376" customWidth="1"/>
    <col min="11542" max="11542" width="12.54296875" style="376" customWidth="1"/>
    <col min="11543" max="11546" width="9" style="376" hidden="1" customWidth="1"/>
    <col min="11547" max="11547" width="8" style="376" customWidth="1"/>
    <col min="11548" max="11772" width="9.1796875" style="376"/>
    <col min="11773" max="11773" width="5.1796875" style="376" customWidth="1"/>
    <col min="11774" max="11774" width="29.26953125" style="376" customWidth="1"/>
    <col min="11775" max="11775" width="9" style="376" hidden="1" customWidth="1"/>
    <col min="11776" max="11779" width="8.26953125" style="376" customWidth="1"/>
    <col min="11780" max="11780" width="11" style="376" customWidth="1"/>
    <col min="11781" max="11781" width="13" style="376" customWidth="1"/>
    <col min="11782" max="11782" width="9.7265625" style="376" customWidth="1"/>
    <col min="11783" max="11783" width="9.54296875" style="376" customWidth="1"/>
    <col min="11784" max="11784" width="12" style="376" customWidth="1"/>
    <col min="11785" max="11785" width="11.81640625" style="376" customWidth="1"/>
    <col min="11786" max="11786" width="11.7265625" style="376" customWidth="1"/>
    <col min="11787" max="11787" width="9.26953125" style="376" customWidth="1"/>
    <col min="11788" max="11788" width="8.1796875" style="376" customWidth="1"/>
    <col min="11789" max="11789" width="11.26953125" style="376" customWidth="1"/>
    <col min="11790" max="11790" width="10.26953125" style="376" customWidth="1"/>
    <col min="11791" max="11791" width="9.26953125" style="376" customWidth="1"/>
    <col min="11792" max="11792" width="8.1796875" style="376" customWidth="1"/>
    <col min="11793" max="11793" width="9.453125" style="376" customWidth="1"/>
    <col min="11794" max="11794" width="10.26953125" style="376" customWidth="1"/>
    <col min="11795" max="11795" width="12.54296875" style="376" customWidth="1"/>
    <col min="11796" max="11796" width="7.7265625" style="376" customWidth="1"/>
    <col min="11797" max="11797" width="11.26953125" style="376" customWidth="1"/>
    <col min="11798" max="11798" width="12.54296875" style="376" customWidth="1"/>
    <col min="11799" max="11802" width="9" style="376" hidden="1" customWidth="1"/>
    <col min="11803" max="11803" width="8" style="376" customWidth="1"/>
    <col min="11804" max="12028" width="9.1796875" style="376"/>
    <col min="12029" max="12029" width="5.1796875" style="376" customWidth="1"/>
    <col min="12030" max="12030" width="29.26953125" style="376" customWidth="1"/>
    <col min="12031" max="12031" width="9" style="376" hidden="1" customWidth="1"/>
    <col min="12032" max="12035" width="8.26953125" style="376" customWidth="1"/>
    <col min="12036" max="12036" width="11" style="376" customWidth="1"/>
    <col min="12037" max="12037" width="13" style="376" customWidth="1"/>
    <col min="12038" max="12038" width="9.7265625" style="376" customWidth="1"/>
    <col min="12039" max="12039" width="9.54296875" style="376" customWidth="1"/>
    <col min="12040" max="12040" width="12" style="376" customWidth="1"/>
    <col min="12041" max="12041" width="11.81640625" style="376" customWidth="1"/>
    <col min="12042" max="12042" width="11.7265625" style="376" customWidth="1"/>
    <col min="12043" max="12043" width="9.26953125" style="376" customWidth="1"/>
    <col min="12044" max="12044" width="8.1796875" style="376" customWidth="1"/>
    <col min="12045" max="12045" width="11.26953125" style="376" customWidth="1"/>
    <col min="12046" max="12046" width="10.26953125" style="376" customWidth="1"/>
    <col min="12047" max="12047" width="9.26953125" style="376" customWidth="1"/>
    <col min="12048" max="12048" width="8.1796875" style="376" customWidth="1"/>
    <col min="12049" max="12049" width="9.453125" style="376" customWidth="1"/>
    <col min="12050" max="12050" width="10.26953125" style="376" customWidth="1"/>
    <col min="12051" max="12051" width="12.54296875" style="376" customWidth="1"/>
    <col min="12052" max="12052" width="7.7265625" style="376" customWidth="1"/>
    <col min="12053" max="12053" width="11.26953125" style="376" customWidth="1"/>
    <col min="12054" max="12054" width="12.54296875" style="376" customWidth="1"/>
    <col min="12055" max="12058" width="9" style="376" hidden="1" customWidth="1"/>
    <col min="12059" max="12059" width="8" style="376" customWidth="1"/>
    <col min="12060" max="12284" width="9.1796875" style="376"/>
    <col min="12285" max="12285" width="5.1796875" style="376" customWidth="1"/>
    <col min="12286" max="12286" width="29.26953125" style="376" customWidth="1"/>
    <col min="12287" max="12287" width="9" style="376" hidden="1" customWidth="1"/>
    <col min="12288" max="12291" width="8.26953125" style="376" customWidth="1"/>
    <col min="12292" max="12292" width="11" style="376" customWidth="1"/>
    <col min="12293" max="12293" width="13" style="376" customWidth="1"/>
    <col min="12294" max="12294" width="9.7265625" style="376" customWidth="1"/>
    <col min="12295" max="12295" width="9.54296875" style="376" customWidth="1"/>
    <col min="12296" max="12296" width="12" style="376" customWidth="1"/>
    <col min="12297" max="12297" width="11.81640625" style="376" customWidth="1"/>
    <col min="12298" max="12298" width="11.7265625" style="376" customWidth="1"/>
    <col min="12299" max="12299" width="9.26953125" style="376" customWidth="1"/>
    <col min="12300" max="12300" width="8.1796875" style="376" customWidth="1"/>
    <col min="12301" max="12301" width="11.26953125" style="376" customWidth="1"/>
    <col min="12302" max="12302" width="10.26953125" style="376" customWidth="1"/>
    <col min="12303" max="12303" width="9.26953125" style="376" customWidth="1"/>
    <col min="12304" max="12304" width="8.1796875" style="376" customWidth="1"/>
    <col min="12305" max="12305" width="9.453125" style="376" customWidth="1"/>
    <col min="12306" max="12306" width="10.26953125" style="376" customWidth="1"/>
    <col min="12307" max="12307" width="12.54296875" style="376" customWidth="1"/>
    <col min="12308" max="12308" width="7.7265625" style="376" customWidth="1"/>
    <col min="12309" max="12309" width="11.26953125" style="376" customWidth="1"/>
    <col min="12310" max="12310" width="12.54296875" style="376" customWidth="1"/>
    <col min="12311" max="12314" width="9" style="376" hidden="1" customWidth="1"/>
    <col min="12315" max="12315" width="8" style="376" customWidth="1"/>
    <col min="12316" max="12540" width="9.1796875" style="376"/>
    <col min="12541" max="12541" width="5.1796875" style="376" customWidth="1"/>
    <col min="12542" max="12542" width="29.26953125" style="376" customWidth="1"/>
    <col min="12543" max="12543" width="9" style="376" hidden="1" customWidth="1"/>
    <col min="12544" max="12547" width="8.26953125" style="376" customWidth="1"/>
    <col min="12548" max="12548" width="11" style="376" customWidth="1"/>
    <col min="12549" max="12549" width="13" style="376" customWidth="1"/>
    <col min="12550" max="12550" width="9.7265625" style="376" customWidth="1"/>
    <col min="12551" max="12551" width="9.54296875" style="376" customWidth="1"/>
    <col min="12552" max="12552" width="12" style="376" customWidth="1"/>
    <col min="12553" max="12553" width="11.81640625" style="376" customWidth="1"/>
    <col min="12554" max="12554" width="11.7265625" style="376" customWidth="1"/>
    <col min="12555" max="12555" width="9.26953125" style="376" customWidth="1"/>
    <col min="12556" max="12556" width="8.1796875" style="376" customWidth="1"/>
    <col min="12557" max="12557" width="11.26953125" style="376" customWidth="1"/>
    <col min="12558" max="12558" width="10.26953125" style="376" customWidth="1"/>
    <col min="12559" max="12559" width="9.26953125" style="376" customWidth="1"/>
    <col min="12560" max="12560" width="8.1796875" style="376" customWidth="1"/>
    <col min="12561" max="12561" width="9.453125" style="376" customWidth="1"/>
    <col min="12562" max="12562" width="10.26953125" style="376" customWidth="1"/>
    <col min="12563" max="12563" width="12.54296875" style="376" customWidth="1"/>
    <col min="12564" max="12564" width="7.7265625" style="376" customWidth="1"/>
    <col min="12565" max="12565" width="11.26953125" style="376" customWidth="1"/>
    <col min="12566" max="12566" width="12.54296875" style="376" customWidth="1"/>
    <col min="12567" max="12570" width="9" style="376" hidden="1" customWidth="1"/>
    <col min="12571" max="12571" width="8" style="376" customWidth="1"/>
    <col min="12572" max="12796" width="9.1796875" style="376"/>
    <col min="12797" max="12797" width="5.1796875" style="376" customWidth="1"/>
    <col min="12798" max="12798" width="29.26953125" style="376" customWidth="1"/>
    <col min="12799" max="12799" width="9" style="376" hidden="1" customWidth="1"/>
    <col min="12800" max="12803" width="8.26953125" style="376" customWidth="1"/>
    <col min="12804" max="12804" width="11" style="376" customWidth="1"/>
    <col min="12805" max="12805" width="13" style="376" customWidth="1"/>
    <col min="12806" max="12806" width="9.7265625" style="376" customWidth="1"/>
    <col min="12807" max="12807" width="9.54296875" style="376" customWidth="1"/>
    <col min="12808" max="12808" width="12" style="376" customWidth="1"/>
    <col min="12809" max="12809" width="11.81640625" style="376" customWidth="1"/>
    <col min="12810" max="12810" width="11.7265625" style="376" customWidth="1"/>
    <col min="12811" max="12811" width="9.26953125" style="376" customWidth="1"/>
    <col min="12812" max="12812" width="8.1796875" style="376" customWidth="1"/>
    <col min="12813" max="12813" width="11.26953125" style="376" customWidth="1"/>
    <col min="12814" max="12814" width="10.26953125" style="376" customWidth="1"/>
    <col min="12815" max="12815" width="9.26953125" style="376" customWidth="1"/>
    <col min="12816" max="12816" width="8.1796875" style="376" customWidth="1"/>
    <col min="12817" max="12817" width="9.453125" style="376" customWidth="1"/>
    <col min="12818" max="12818" width="10.26953125" style="376" customWidth="1"/>
    <col min="12819" max="12819" width="12.54296875" style="376" customWidth="1"/>
    <col min="12820" max="12820" width="7.7265625" style="376" customWidth="1"/>
    <col min="12821" max="12821" width="11.26953125" style="376" customWidth="1"/>
    <col min="12822" max="12822" width="12.54296875" style="376" customWidth="1"/>
    <col min="12823" max="12826" width="9" style="376" hidden="1" customWidth="1"/>
    <col min="12827" max="12827" width="8" style="376" customWidth="1"/>
    <col min="12828" max="13052" width="9.1796875" style="376"/>
    <col min="13053" max="13053" width="5.1796875" style="376" customWidth="1"/>
    <col min="13054" max="13054" width="29.26953125" style="376" customWidth="1"/>
    <col min="13055" max="13055" width="9" style="376" hidden="1" customWidth="1"/>
    <col min="13056" max="13059" width="8.26953125" style="376" customWidth="1"/>
    <col min="13060" max="13060" width="11" style="376" customWidth="1"/>
    <col min="13061" max="13061" width="13" style="376" customWidth="1"/>
    <col min="13062" max="13062" width="9.7265625" style="376" customWidth="1"/>
    <col min="13063" max="13063" width="9.54296875" style="376" customWidth="1"/>
    <col min="13064" max="13064" width="12" style="376" customWidth="1"/>
    <col min="13065" max="13065" width="11.81640625" style="376" customWidth="1"/>
    <col min="13066" max="13066" width="11.7265625" style="376" customWidth="1"/>
    <col min="13067" max="13067" width="9.26953125" style="376" customWidth="1"/>
    <col min="13068" max="13068" width="8.1796875" style="376" customWidth="1"/>
    <col min="13069" max="13069" width="11.26953125" style="376" customWidth="1"/>
    <col min="13070" max="13070" width="10.26953125" style="376" customWidth="1"/>
    <col min="13071" max="13071" width="9.26953125" style="376" customWidth="1"/>
    <col min="13072" max="13072" width="8.1796875" style="376" customWidth="1"/>
    <col min="13073" max="13073" width="9.453125" style="376" customWidth="1"/>
    <col min="13074" max="13074" width="10.26953125" style="376" customWidth="1"/>
    <col min="13075" max="13075" width="12.54296875" style="376" customWidth="1"/>
    <col min="13076" max="13076" width="7.7265625" style="376" customWidth="1"/>
    <col min="13077" max="13077" width="11.26953125" style="376" customWidth="1"/>
    <col min="13078" max="13078" width="12.54296875" style="376" customWidth="1"/>
    <col min="13079" max="13082" width="9" style="376" hidden="1" customWidth="1"/>
    <col min="13083" max="13083" width="8" style="376" customWidth="1"/>
    <col min="13084" max="13308" width="9.1796875" style="376"/>
    <col min="13309" max="13309" width="5.1796875" style="376" customWidth="1"/>
    <col min="13310" max="13310" width="29.26953125" style="376" customWidth="1"/>
    <col min="13311" max="13311" width="9" style="376" hidden="1" customWidth="1"/>
    <col min="13312" max="13315" width="8.26953125" style="376" customWidth="1"/>
    <col min="13316" max="13316" width="11" style="376" customWidth="1"/>
    <col min="13317" max="13317" width="13" style="376" customWidth="1"/>
    <col min="13318" max="13318" width="9.7265625" style="376" customWidth="1"/>
    <col min="13319" max="13319" width="9.54296875" style="376" customWidth="1"/>
    <col min="13320" max="13320" width="12" style="376" customWidth="1"/>
    <col min="13321" max="13321" width="11.81640625" style="376" customWidth="1"/>
    <col min="13322" max="13322" width="11.7265625" style="376" customWidth="1"/>
    <col min="13323" max="13323" width="9.26953125" style="376" customWidth="1"/>
    <col min="13324" max="13324" width="8.1796875" style="376" customWidth="1"/>
    <col min="13325" max="13325" width="11.26953125" style="376" customWidth="1"/>
    <col min="13326" max="13326" width="10.26953125" style="376" customWidth="1"/>
    <col min="13327" max="13327" width="9.26953125" style="376" customWidth="1"/>
    <col min="13328" max="13328" width="8.1796875" style="376" customWidth="1"/>
    <col min="13329" max="13329" width="9.453125" style="376" customWidth="1"/>
    <col min="13330" max="13330" width="10.26953125" style="376" customWidth="1"/>
    <col min="13331" max="13331" width="12.54296875" style="376" customWidth="1"/>
    <col min="13332" max="13332" width="7.7265625" style="376" customWidth="1"/>
    <col min="13333" max="13333" width="11.26953125" style="376" customWidth="1"/>
    <col min="13334" max="13334" width="12.54296875" style="376" customWidth="1"/>
    <col min="13335" max="13338" width="9" style="376" hidden="1" customWidth="1"/>
    <col min="13339" max="13339" width="8" style="376" customWidth="1"/>
    <col min="13340" max="13564" width="9.1796875" style="376"/>
    <col min="13565" max="13565" width="5.1796875" style="376" customWidth="1"/>
    <col min="13566" max="13566" width="29.26953125" style="376" customWidth="1"/>
    <col min="13567" max="13567" width="9" style="376" hidden="1" customWidth="1"/>
    <col min="13568" max="13571" width="8.26953125" style="376" customWidth="1"/>
    <col min="13572" max="13572" width="11" style="376" customWidth="1"/>
    <col min="13573" max="13573" width="13" style="376" customWidth="1"/>
    <col min="13574" max="13574" width="9.7265625" style="376" customWidth="1"/>
    <col min="13575" max="13575" width="9.54296875" style="376" customWidth="1"/>
    <col min="13576" max="13576" width="12" style="376" customWidth="1"/>
    <col min="13577" max="13577" width="11.81640625" style="376" customWidth="1"/>
    <col min="13578" max="13578" width="11.7265625" style="376" customWidth="1"/>
    <col min="13579" max="13579" width="9.26953125" style="376" customWidth="1"/>
    <col min="13580" max="13580" width="8.1796875" style="376" customWidth="1"/>
    <col min="13581" max="13581" width="11.26953125" style="376" customWidth="1"/>
    <col min="13582" max="13582" width="10.26953125" style="376" customWidth="1"/>
    <col min="13583" max="13583" width="9.26953125" style="376" customWidth="1"/>
    <col min="13584" max="13584" width="8.1796875" style="376" customWidth="1"/>
    <col min="13585" max="13585" width="9.453125" style="376" customWidth="1"/>
    <col min="13586" max="13586" width="10.26953125" style="376" customWidth="1"/>
    <col min="13587" max="13587" width="12.54296875" style="376" customWidth="1"/>
    <col min="13588" max="13588" width="7.7265625" style="376" customWidth="1"/>
    <col min="13589" max="13589" width="11.26953125" style="376" customWidth="1"/>
    <col min="13590" max="13590" width="12.54296875" style="376" customWidth="1"/>
    <col min="13591" max="13594" width="9" style="376" hidden="1" customWidth="1"/>
    <col min="13595" max="13595" width="8" style="376" customWidth="1"/>
    <col min="13596" max="13820" width="9.1796875" style="376"/>
    <col min="13821" max="13821" width="5.1796875" style="376" customWidth="1"/>
    <col min="13822" max="13822" width="29.26953125" style="376" customWidth="1"/>
    <col min="13823" max="13823" width="9" style="376" hidden="1" customWidth="1"/>
    <col min="13824" max="13827" width="8.26953125" style="376" customWidth="1"/>
    <col min="13828" max="13828" width="11" style="376" customWidth="1"/>
    <col min="13829" max="13829" width="13" style="376" customWidth="1"/>
    <col min="13830" max="13830" width="9.7265625" style="376" customWidth="1"/>
    <col min="13831" max="13831" width="9.54296875" style="376" customWidth="1"/>
    <col min="13832" max="13832" width="12" style="376" customWidth="1"/>
    <col min="13833" max="13833" width="11.81640625" style="376" customWidth="1"/>
    <col min="13834" max="13834" width="11.7265625" style="376" customWidth="1"/>
    <col min="13835" max="13835" width="9.26953125" style="376" customWidth="1"/>
    <col min="13836" max="13836" width="8.1796875" style="376" customWidth="1"/>
    <col min="13837" max="13837" width="11.26953125" style="376" customWidth="1"/>
    <col min="13838" max="13838" width="10.26953125" style="376" customWidth="1"/>
    <col min="13839" max="13839" width="9.26953125" style="376" customWidth="1"/>
    <col min="13840" max="13840" width="8.1796875" style="376" customWidth="1"/>
    <col min="13841" max="13841" width="9.453125" style="376" customWidth="1"/>
    <col min="13842" max="13842" width="10.26953125" style="376" customWidth="1"/>
    <col min="13843" max="13843" width="12.54296875" style="376" customWidth="1"/>
    <col min="13844" max="13844" width="7.7265625" style="376" customWidth="1"/>
    <col min="13845" max="13845" width="11.26953125" style="376" customWidth="1"/>
    <col min="13846" max="13846" width="12.54296875" style="376" customWidth="1"/>
    <col min="13847" max="13850" width="9" style="376" hidden="1" customWidth="1"/>
    <col min="13851" max="13851" width="8" style="376" customWidth="1"/>
    <col min="13852" max="14076" width="9.1796875" style="376"/>
    <col min="14077" max="14077" width="5.1796875" style="376" customWidth="1"/>
    <col min="14078" max="14078" width="29.26953125" style="376" customWidth="1"/>
    <col min="14079" max="14079" width="9" style="376" hidden="1" customWidth="1"/>
    <col min="14080" max="14083" width="8.26953125" style="376" customWidth="1"/>
    <col min="14084" max="14084" width="11" style="376" customWidth="1"/>
    <col min="14085" max="14085" width="13" style="376" customWidth="1"/>
    <col min="14086" max="14086" width="9.7265625" style="376" customWidth="1"/>
    <col min="14087" max="14087" width="9.54296875" style="376" customWidth="1"/>
    <col min="14088" max="14088" width="12" style="376" customWidth="1"/>
    <col min="14089" max="14089" width="11.81640625" style="376" customWidth="1"/>
    <col min="14090" max="14090" width="11.7265625" style="376" customWidth="1"/>
    <col min="14091" max="14091" width="9.26953125" style="376" customWidth="1"/>
    <col min="14092" max="14092" width="8.1796875" style="376" customWidth="1"/>
    <col min="14093" max="14093" width="11.26953125" style="376" customWidth="1"/>
    <col min="14094" max="14094" width="10.26953125" style="376" customWidth="1"/>
    <col min="14095" max="14095" width="9.26953125" style="376" customWidth="1"/>
    <col min="14096" max="14096" width="8.1796875" style="376" customWidth="1"/>
    <col min="14097" max="14097" width="9.453125" style="376" customWidth="1"/>
    <col min="14098" max="14098" width="10.26953125" style="376" customWidth="1"/>
    <col min="14099" max="14099" width="12.54296875" style="376" customWidth="1"/>
    <col min="14100" max="14100" width="7.7265625" style="376" customWidth="1"/>
    <col min="14101" max="14101" width="11.26953125" style="376" customWidth="1"/>
    <col min="14102" max="14102" width="12.54296875" style="376" customWidth="1"/>
    <col min="14103" max="14106" width="9" style="376" hidden="1" customWidth="1"/>
    <col min="14107" max="14107" width="8" style="376" customWidth="1"/>
    <col min="14108" max="14332" width="9.1796875" style="376"/>
    <col min="14333" max="14333" width="5.1796875" style="376" customWidth="1"/>
    <col min="14334" max="14334" width="29.26953125" style="376" customWidth="1"/>
    <col min="14335" max="14335" width="9" style="376" hidden="1" customWidth="1"/>
    <col min="14336" max="14339" width="8.26953125" style="376" customWidth="1"/>
    <col min="14340" max="14340" width="11" style="376" customWidth="1"/>
    <col min="14341" max="14341" width="13" style="376" customWidth="1"/>
    <col min="14342" max="14342" width="9.7265625" style="376" customWidth="1"/>
    <col min="14343" max="14343" width="9.54296875" style="376" customWidth="1"/>
    <col min="14344" max="14344" width="12" style="376" customWidth="1"/>
    <col min="14345" max="14345" width="11.81640625" style="376" customWidth="1"/>
    <col min="14346" max="14346" width="11.7265625" style="376" customWidth="1"/>
    <col min="14347" max="14347" width="9.26953125" style="376" customWidth="1"/>
    <col min="14348" max="14348" width="8.1796875" style="376" customWidth="1"/>
    <col min="14349" max="14349" width="11.26953125" style="376" customWidth="1"/>
    <col min="14350" max="14350" width="10.26953125" style="376" customWidth="1"/>
    <col min="14351" max="14351" width="9.26953125" style="376" customWidth="1"/>
    <col min="14352" max="14352" width="8.1796875" style="376" customWidth="1"/>
    <col min="14353" max="14353" width="9.453125" style="376" customWidth="1"/>
    <col min="14354" max="14354" width="10.26953125" style="376" customWidth="1"/>
    <col min="14355" max="14355" width="12.54296875" style="376" customWidth="1"/>
    <col min="14356" max="14356" width="7.7265625" style="376" customWidth="1"/>
    <col min="14357" max="14357" width="11.26953125" style="376" customWidth="1"/>
    <col min="14358" max="14358" width="12.54296875" style="376" customWidth="1"/>
    <col min="14359" max="14362" width="9" style="376" hidden="1" customWidth="1"/>
    <col min="14363" max="14363" width="8" style="376" customWidth="1"/>
    <col min="14364" max="14588" width="9.1796875" style="376"/>
    <col min="14589" max="14589" width="5.1796875" style="376" customWidth="1"/>
    <col min="14590" max="14590" width="29.26953125" style="376" customWidth="1"/>
    <col min="14591" max="14591" width="9" style="376" hidden="1" customWidth="1"/>
    <col min="14592" max="14595" width="8.26953125" style="376" customWidth="1"/>
    <col min="14596" max="14596" width="11" style="376" customWidth="1"/>
    <col min="14597" max="14597" width="13" style="376" customWidth="1"/>
    <col min="14598" max="14598" width="9.7265625" style="376" customWidth="1"/>
    <col min="14599" max="14599" width="9.54296875" style="376" customWidth="1"/>
    <col min="14600" max="14600" width="12" style="376" customWidth="1"/>
    <col min="14601" max="14601" width="11.81640625" style="376" customWidth="1"/>
    <col min="14602" max="14602" width="11.7265625" style="376" customWidth="1"/>
    <col min="14603" max="14603" width="9.26953125" style="376" customWidth="1"/>
    <col min="14604" max="14604" width="8.1796875" style="376" customWidth="1"/>
    <col min="14605" max="14605" width="11.26953125" style="376" customWidth="1"/>
    <col min="14606" max="14606" width="10.26953125" style="376" customWidth="1"/>
    <col min="14607" max="14607" width="9.26953125" style="376" customWidth="1"/>
    <col min="14608" max="14608" width="8.1796875" style="376" customWidth="1"/>
    <col min="14609" max="14609" width="9.453125" style="376" customWidth="1"/>
    <col min="14610" max="14610" width="10.26953125" style="376" customWidth="1"/>
    <col min="14611" max="14611" width="12.54296875" style="376" customWidth="1"/>
    <col min="14612" max="14612" width="7.7265625" style="376" customWidth="1"/>
    <col min="14613" max="14613" width="11.26953125" style="376" customWidth="1"/>
    <col min="14614" max="14614" width="12.54296875" style="376" customWidth="1"/>
    <col min="14615" max="14618" width="9" style="376" hidden="1" customWidth="1"/>
    <col min="14619" max="14619" width="8" style="376" customWidth="1"/>
    <col min="14620" max="14844" width="9.1796875" style="376"/>
    <col min="14845" max="14845" width="5.1796875" style="376" customWidth="1"/>
    <col min="14846" max="14846" width="29.26953125" style="376" customWidth="1"/>
    <col min="14847" max="14847" width="9" style="376" hidden="1" customWidth="1"/>
    <col min="14848" max="14851" width="8.26953125" style="376" customWidth="1"/>
    <col min="14852" max="14852" width="11" style="376" customWidth="1"/>
    <col min="14853" max="14853" width="13" style="376" customWidth="1"/>
    <col min="14854" max="14854" width="9.7265625" style="376" customWidth="1"/>
    <col min="14855" max="14855" width="9.54296875" style="376" customWidth="1"/>
    <col min="14856" max="14856" width="12" style="376" customWidth="1"/>
    <col min="14857" max="14857" width="11.81640625" style="376" customWidth="1"/>
    <col min="14858" max="14858" width="11.7265625" style="376" customWidth="1"/>
    <col min="14859" max="14859" width="9.26953125" style="376" customWidth="1"/>
    <col min="14860" max="14860" width="8.1796875" style="376" customWidth="1"/>
    <col min="14861" max="14861" width="11.26953125" style="376" customWidth="1"/>
    <col min="14862" max="14862" width="10.26953125" style="376" customWidth="1"/>
    <col min="14863" max="14863" width="9.26953125" style="376" customWidth="1"/>
    <col min="14864" max="14864" width="8.1796875" style="376" customWidth="1"/>
    <col min="14865" max="14865" width="9.453125" style="376" customWidth="1"/>
    <col min="14866" max="14866" width="10.26953125" style="376" customWidth="1"/>
    <col min="14867" max="14867" width="12.54296875" style="376" customWidth="1"/>
    <col min="14868" max="14868" width="7.7265625" style="376" customWidth="1"/>
    <col min="14869" max="14869" width="11.26953125" style="376" customWidth="1"/>
    <col min="14870" max="14870" width="12.54296875" style="376" customWidth="1"/>
    <col min="14871" max="14874" width="9" style="376" hidden="1" customWidth="1"/>
    <col min="14875" max="14875" width="8" style="376" customWidth="1"/>
    <col min="14876" max="15100" width="9.1796875" style="376"/>
    <col min="15101" max="15101" width="5.1796875" style="376" customWidth="1"/>
    <col min="15102" max="15102" width="29.26953125" style="376" customWidth="1"/>
    <col min="15103" max="15103" width="9" style="376" hidden="1" customWidth="1"/>
    <col min="15104" max="15107" width="8.26953125" style="376" customWidth="1"/>
    <col min="15108" max="15108" width="11" style="376" customWidth="1"/>
    <col min="15109" max="15109" width="13" style="376" customWidth="1"/>
    <col min="15110" max="15110" width="9.7265625" style="376" customWidth="1"/>
    <col min="15111" max="15111" width="9.54296875" style="376" customWidth="1"/>
    <col min="15112" max="15112" width="12" style="376" customWidth="1"/>
    <col min="15113" max="15113" width="11.81640625" style="376" customWidth="1"/>
    <col min="15114" max="15114" width="11.7265625" style="376" customWidth="1"/>
    <col min="15115" max="15115" width="9.26953125" style="376" customWidth="1"/>
    <col min="15116" max="15116" width="8.1796875" style="376" customWidth="1"/>
    <col min="15117" max="15117" width="11.26953125" style="376" customWidth="1"/>
    <col min="15118" max="15118" width="10.26953125" style="376" customWidth="1"/>
    <col min="15119" max="15119" width="9.26953125" style="376" customWidth="1"/>
    <col min="15120" max="15120" width="8.1796875" style="376" customWidth="1"/>
    <col min="15121" max="15121" width="9.453125" style="376" customWidth="1"/>
    <col min="15122" max="15122" width="10.26953125" style="376" customWidth="1"/>
    <col min="15123" max="15123" width="12.54296875" style="376" customWidth="1"/>
    <col min="15124" max="15124" width="7.7265625" style="376" customWidth="1"/>
    <col min="15125" max="15125" width="11.26953125" style="376" customWidth="1"/>
    <col min="15126" max="15126" width="12.54296875" style="376" customWidth="1"/>
    <col min="15127" max="15130" width="9" style="376" hidden="1" customWidth="1"/>
    <col min="15131" max="15131" width="8" style="376" customWidth="1"/>
    <col min="15132" max="15356" width="9.1796875" style="376"/>
    <col min="15357" max="15357" width="5.1796875" style="376" customWidth="1"/>
    <col min="15358" max="15358" width="29.26953125" style="376" customWidth="1"/>
    <col min="15359" max="15359" width="9" style="376" hidden="1" customWidth="1"/>
    <col min="15360" max="15363" width="8.26953125" style="376" customWidth="1"/>
    <col min="15364" max="15364" width="11" style="376" customWidth="1"/>
    <col min="15365" max="15365" width="13" style="376" customWidth="1"/>
    <col min="15366" max="15366" width="9.7265625" style="376" customWidth="1"/>
    <col min="15367" max="15367" width="9.54296875" style="376" customWidth="1"/>
    <col min="15368" max="15368" width="12" style="376" customWidth="1"/>
    <col min="15369" max="15369" width="11.81640625" style="376" customWidth="1"/>
    <col min="15370" max="15370" width="11.7265625" style="376" customWidth="1"/>
    <col min="15371" max="15371" width="9.26953125" style="376" customWidth="1"/>
    <col min="15372" max="15372" width="8.1796875" style="376" customWidth="1"/>
    <col min="15373" max="15373" width="11.26953125" style="376" customWidth="1"/>
    <col min="15374" max="15374" width="10.26953125" style="376" customWidth="1"/>
    <col min="15375" max="15375" width="9.26953125" style="376" customWidth="1"/>
    <col min="15376" max="15376" width="8.1796875" style="376" customWidth="1"/>
    <col min="15377" max="15377" width="9.453125" style="376" customWidth="1"/>
    <col min="15378" max="15378" width="10.26953125" style="376" customWidth="1"/>
    <col min="15379" max="15379" width="12.54296875" style="376" customWidth="1"/>
    <col min="15380" max="15380" width="7.7265625" style="376" customWidth="1"/>
    <col min="15381" max="15381" width="11.26953125" style="376" customWidth="1"/>
    <col min="15382" max="15382" width="12.54296875" style="376" customWidth="1"/>
    <col min="15383" max="15386" width="9" style="376" hidden="1" customWidth="1"/>
    <col min="15387" max="15387" width="8" style="376" customWidth="1"/>
    <col min="15388" max="15612" width="9.1796875" style="376"/>
    <col min="15613" max="15613" width="5.1796875" style="376" customWidth="1"/>
    <col min="15614" max="15614" width="29.26953125" style="376" customWidth="1"/>
    <col min="15615" max="15615" width="9" style="376" hidden="1" customWidth="1"/>
    <col min="15616" max="15619" width="8.26953125" style="376" customWidth="1"/>
    <col min="15620" max="15620" width="11" style="376" customWidth="1"/>
    <col min="15621" max="15621" width="13" style="376" customWidth="1"/>
    <col min="15622" max="15622" width="9.7265625" style="376" customWidth="1"/>
    <col min="15623" max="15623" width="9.54296875" style="376" customWidth="1"/>
    <col min="15624" max="15624" width="12" style="376" customWidth="1"/>
    <col min="15625" max="15625" width="11.81640625" style="376" customWidth="1"/>
    <col min="15626" max="15626" width="11.7265625" style="376" customWidth="1"/>
    <col min="15627" max="15627" width="9.26953125" style="376" customWidth="1"/>
    <col min="15628" max="15628" width="8.1796875" style="376" customWidth="1"/>
    <col min="15629" max="15629" width="11.26953125" style="376" customWidth="1"/>
    <col min="15630" max="15630" width="10.26953125" style="376" customWidth="1"/>
    <col min="15631" max="15631" width="9.26953125" style="376" customWidth="1"/>
    <col min="15632" max="15632" width="8.1796875" style="376" customWidth="1"/>
    <col min="15633" max="15633" width="9.453125" style="376" customWidth="1"/>
    <col min="15634" max="15634" width="10.26953125" style="376" customWidth="1"/>
    <col min="15635" max="15635" width="12.54296875" style="376" customWidth="1"/>
    <col min="15636" max="15636" width="7.7265625" style="376" customWidth="1"/>
    <col min="15637" max="15637" width="11.26953125" style="376" customWidth="1"/>
    <col min="15638" max="15638" width="12.54296875" style="376" customWidth="1"/>
    <col min="15639" max="15642" width="9" style="376" hidden="1" customWidth="1"/>
    <col min="15643" max="15643" width="8" style="376" customWidth="1"/>
    <col min="15644" max="15868" width="9.1796875" style="376"/>
    <col min="15869" max="15869" width="5.1796875" style="376" customWidth="1"/>
    <col min="15870" max="15870" width="29.26953125" style="376" customWidth="1"/>
    <col min="15871" max="15871" width="9" style="376" hidden="1" customWidth="1"/>
    <col min="15872" max="15875" width="8.26953125" style="376" customWidth="1"/>
    <col min="15876" max="15876" width="11" style="376" customWidth="1"/>
    <col min="15877" max="15877" width="13" style="376" customWidth="1"/>
    <col min="15878" max="15878" width="9.7265625" style="376" customWidth="1"/>
    <col min="15879" max="15879" width="9.54296875" style="376" customWidth="1"/>
    <col min="15880" max="15880" width="12" style="376" customWidth="1"/>
    <col min="15881" max="15881" width="11.81640625" style="376" customWidth="1"/>
    <col min="15882" max="15882" width="11.7265625" style="376" customWidth="1"/>
    <col min="15883" max="15883" width="9.26953125" style="376" customWidth="1"/>
    <col min="15884" max="15884" width="8.1796875" style="376" customWidth="1"/>
    <col min="15885" max="15885" width="11.26953125" style="376" customWidth="1"/>
    <col min="15886" max="15886" width="10.26953125" style="376" customWidth="1"/>
    <col min="15887" max="15887" width="9.26953125" style="376" customWidth="1"/>
    <col min="15888" max="15888" width="8.1796875" style="376" customWidth="1"/>
    <col min="15889" max="15889" width="9.453125" style="376" customWidth="1"/>
    <col min="15890" max="15890" width="10.26953125" style="376" customWidth="1"/>
    <col min="15891" max="15891" width="12.54296875" style="376" customWidth="1"/>
    <col min="15892" max="15892" width="7.7265625" style="376" customWidth="1"/>
    <col min="15893" max="15893" width="11.26953125" style="376" customWidth="1"/>
    <col min="15894" max="15894" width="12.54296875" style="376" customWidth="1"/>
    <col min="15895" max="15898" width="9" style="376" hidden="1" customWidth="1"/>
    <col min="15899" max="15899" width="8" style="376" customWidth="1"/>
    <col min="15900" max="16124" width="9.1796875" style="376"/>
    <col min="16125" max="16125" width="5.1796875" style="376" customWidth="1"/>
    <col min="16126" max="16126" width="29.26953125" style="376" customWidth="1"/>
    <col min="16127" max="16127" width="9" style="376" hidden="1" customWidth="1"/>
    <col min="16128" max="16131" width="8.26953125" style="376" customWidth="1"/>
    <col min="16132" max="16132" width="11" style="376" customWidth="1"/>
    <col min="16133" max="16133" width="13" style="376" customWidth="1"/>
    <col min="16134" max="16134" width="9.7265625" style="376" customWidth="1"/>
    <col min="16135" max="16135" width="9.54296875" style="376" customWidth="1"/>
    <col min="16136" max="16136" width="12" style="376" customWidth="1"/>
    <col min="16137" max="16137" width="11.81640625" style="376" customWidth="1"/>
    <col min="16138" max="16138" width="11.7265625" style="376" customWidth="1"/>
    <col min="16139" max="16139" width="9.26953125" style="376" customWidth="1"/>
    <col min="16140" max="16140" width="8.1796875" style="376" customWidth="1"/>
    <col min="16141" max="16141" width="11.26953125" style="376" customWidth="1"/>
    <col min="16142" max="16142" width="10.26953125" style="376" customWidth="1"/>
    <col min="16143" max="16143" width="9.26953125" style="376" customWidth="1"/>
    <col min="16144" max="16144" width="8.1796875" style="376" customWidth="1"/>
    <col min="16145" max="16145" width="9.453125" style="376" customWidth="1"/>
    <col min="16146" max="16146" width="10.26953125" style="376" customWidth="1"/>
    <col min="16147" max="16147" width="12.54296875" style="376" customWidth="1"/>
    <col min="16148" max="16148" width="7.7265625" style="376" customWidth="1"/>
    <col min="16149" max="16149" width="11.26953125" style="376" customWidth="1"/>
    <col min="16150" max="16150" width="12.54296875" style="376" customWidth="1"/>
    <col min="16151" max="16154" width="9" style="376" hidden="1" customWidth="1"/>
    <col min="16155" max="16155" width="8" style="376" customWidth="1"/>
    <col min="16156" max="16384" width="9.1796875" style="376"/>
  </cols>
  <sheetData>
    <row r="1" spans="1:27" s="370" customFormat="1" ht="22.5">
      <c r="A1" s="523" t="s">
        <v>182</v>
      </c>
      <c r="B1" s="523"/>
      <c r="C1" s="523"/>
      <c r="D1" s="523"/>
      <c r="E1" s="523"/>
      <c r="F1" s="523"/>
      <c r="G1" s="523"/>
      <c r="H1" s="523"/>
      <c r="I1" s="523"/>
      <c r="J1" s="523"/>
      <c r="K1" s="523"/>
      <c r="L1" s="523"/>
      <c r="M1" s="523"/>
      <c r="N1" s="523"/>
      <c r="O1" s="523"/>
      <c r="P1" s="523"/>
      <c r="Q1" s="523"/>
      <c r="R1" s="523"/>
      <c r="S1" s="523"/>
      <c r="T1" s="523"/>
      <c r="U1" s="523"/>
      <c r="V1" s="523"/>
      <c r="W1" s="523"/>
      <c r="X1" s="523"/>
      <c r="Y1" s="523"/>
      <c r="Z1" s="523"/>
      <c r="AA1" s="523"/>
    </row>
    <row r="2" spans="1:27" ht="45.65" customHeight="1">
      <c r="A2" s="524" t="s">
        <v>183</v>
      </c>
      <c r="B2" s="524"/>
      <c r="C2" s="524"/>
      <c r="D2" s="524"/>
      <c r="E2" s="524"/>
      <c r="F2" s="524"/>
      <c r="G2" s="524"/>
      <c r="H2" s="524"/>
      <c r="I2" s="524"/>
      <c r="J2" s="524"/>
      <c r="K2" s="524"/>
      <c r="L2" s="524"/>
      <c r="M2" s="524"/>
      <c r="N2" s="524"/>
      <c r="O2" s="524"/>
      <c r="P2" s="524"/>
      <c r="Q2" s="524"/>
      <c r="R2" s="524"/>
      <c r="S2" s="524"/>
      <c r="T2" s="524"/>
      <c r="U2" s="524"/>
      <c r="V2" s="524"/>
      <c r="W2" s="524"/>
      <c r="X2" s="524"/>
      <c r="Y2" s="524"/>
      <c r="Z2" s="524"/>
      <c r="AA2" s="524"/>
    </row>
    <row r="3" spans="1:27" s="371" customFormat="1" ht="30" customHeight="1">
      <c r="A3" s="525" t="s">
        <v>184</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row>
    <row r="4" spans="1:27" s="372" customFormat="1" ht="33" customHeight="1">
      <c r="A4" s="536" t="s">
        <v>185</v>
      </c>
      <c r="B4" s="536" t="s">
        <v>7</v>
      </c>
      <c r="C4" s="536" t="s">
        <v>186</v>
      </c>
      <c r="D4" s="536" t="s">
        <v>187</v>
      </c>
      <c r="E4" s="536" t="s">
        <v>188</v>
      </c>
      <c r="F4" s="536" t="s">
        <v>189</v>
      </c>
      <c r="G4" s="526" t="s">
        <v>190</v>
      </c>
      <c r="H4" s="527"/>
      <c r="I4" s="527"/>
      <c r="J4" s="527"/>
      <c r="K4" s="527"/>
      <c r="L4" s="527"/>
      <c r="M4" s="527"/>
      <c r="N4" s="528"/>
      <c r="O4" s="543" t="s">
        <v>191</v>
      </c>
      <c r="P4" s="544"/>
      <c r="Q4" s="544"/>
      <c r="R4" s="545"/>
      <c r="S4" s="543" t="s">
        <v>192</v>
      </c>
      <c r="T4" s="544"/>
      <c r="U4" s="544"/>
      <c r="V4" s="545"/>
      <c r="W4" s="543" t="s">
        <v>193</v>
      </c>
      <c r="X4" s="544"/>
      <c r="Y4" s="544"/>
      <c r="Z4" s="544"/>
      <c r="AA4" s="533" t="s">
        <v>14</v>
      </c>
    </row>
    <row r="5" spans="1:27" s="372" customFormat="1" ht="51.75" customHeight="1">
      <c r="A5" s="537"/>
      <c r="B5" s="537"/>
      <c r="C5" s="537"/>
      <c r="D5" s="537"/>
      <c r="E5" s="537"/>
      <c r="F5" s="537"/>
      <c r="G5" s="529" t="s">
        <v>194</v>
      </c>
      <c r="H5" s="529" t="s">
        <v>195</v>
      </c>
      <c r="I5" s="529"/>
      <c r="J5" s="529"/>
      <c r="K5" s="529"/>
      <c r="L5" s="529"/>
      <c r="M5" s="529"/>
      <c r="N5" s="529"/>
      <c r="O5" s="546"/>
      <c r="P5" s="547"/>
      <c r="Q5" s="547"/>
      <c r="R5" s="548"/>
      <c r="S5" s="546"/>
      <c r="T5" s="547"/>
      <c r="U5" s="547"/>
      <c r="V5" s="548"/>
      <c r="W5" s="546"/>
      <c r="X5" s="547"/>
      <c r="Y5" s="547"/>
      <c r="Z5" s="547"/>
      <c r="AA5" s="534"/>
    </row>
    <row r="6" spans="1:27" s="372" customFormat="1" ht="30.75" customHeight="1">
      <c r="A6" s="537"/>
      <c r="B6" s="537"/>
      <c r="C6" s="537"/>
      <c r="D6" s="537"/>
      <c r="E6" s="537"/>
      <c r="F6" s="537"/>
      <c r="G6" s="529"/>
      <c r="H6" s="529" t="s">
        <v>143</v>
      </c>
      <c r="I6" s="530" t="s">
        <v>196</v>
      </c>
      <c r="J6" s="530"/>
      <c r="K6" s="530"/>
      <c r="L6" s="530"/>
      <c r="M6" s="530"/>
      <c r="N6" s="530"/>
      <c r="O6" s="532" t="s">
        <v>158</v>
      </c>
      <c r="P6" s="531" t="s">
        <v>196</v>
      </c>
      <c r="Q6" s="531"/>
      <c r="R6" s="531"/>
      <c r="S6" s="532" t="s">
        <v>158</v>
      </c>
      <c r="T6" s="531" t="s">
        <v>196</v>
      </c>
      <c r="U6" s="531"/>
      <c r="V6" s="531"/>
      <c r="W6" s="532" t="s">
        <v>158</v>
      </c>
      <c r="X6" s="531" t="s">
        <v>196</v>
      </c>
      <c r="Y6" s="531"/>
      <c r="Z6" s="531"/>
      <c r="AA6" s="534"/>
    </row>
    <row r="7" spans="1:27" s="372" customFormat="1" ht="45" customHeight="1">
      <c r="A7" s="537"/>
      <c r="B7" s="537"/>
      <c r="C7" s="537"/>
      <c r="D7" s="537"/>
      <c r="E7" s="537"/>
      <c r="F7" s="537"/>
      <c r="G7" s="529"/>
      <c r="H7" s="529"/>
      <c r="I7" s="539" t="s">
        <v>197</v>
      </c>
      <c r="J7" s="540"/>
      <c r="K7" s="529" t="s">
        <v>198</v>
      </c>
      <c r="L7" s="529"/>
      <c r="M7" s="529"/>
      <c r="N7" s="529"/>
      <c r="O7" s="532"/>
      <c r="P7" s="532" t="s">
        <v>199</v>
      </c>
      <c r="Q7" s="532"/>
      <c r="R7" s="533" t="s">
        <v>200</v>
      </c>
      <c r="S7" s="532"/>
      <c r="T7" s="532" t="s">
        <v>199</v>
      </c>
      <c r="U7" s="532"/>
      <c r="V7" s="533" t="s">
        <v>200</v>
      </c>
      <c r="W7" s="532"/>
      <c r="X7" s="532" t="s">
        <v>199</v>
      </c>
      <c r="Y7" s="532"/>
      <c r="Z7" s="533" t="s">
        <v>200</v>
      </c>
      <c r="AA7" s="534"/>
    </row>
    <row r="8" spans="1:27" s="372" customFormat="1" ht="31.9" customHeight="1">
      <c r="A8" s="537"/>
      <c r="B8" s="537"/>
      <c r="C8" s="537"/>
      <c r="D8" s="537"/>
      <c r="E8" s="537"/>
      <c r="F8" s="537"/>
      <c r="G8" s="529"/>
      <c r="H8" s="529"/>
      <c r="I8" s="541"/>
      <c r="J8" s="542"/>
      <c r="K8" s="529"/>
      <c r="L8" s="529"/>
      <c r="M8" s="529"/>
      <c r="N8" s="529"/>
      <c r="O8" s="532"/>
      <c r="P8" s="532" t="s">
        <v>201</v>
      </c>
      <c r="Q8" s="532" t="s">
        <v>202</v>
      </c>
      <c r="R8" s="534"/>
      <c r="S8" s="532"/>
      <c r="T8" s="532" t="s">
        <v>201</v>
      </c>
      <c r="U8" s="532" t="s">
        <v>202</v>
      </c>
      <c r="V8" s="534"/>
      <c r="W8" s="532"/>
      <c r="X8" s="532" t="s">
        <v>201</v>
      </c>
      <c r="Y8" s="532" t="s">
        <v>202</v>
      </c>
      <c r="Z8" s="534"/>
      <c r="AA8" s="534"/>
    </row>
    <row r="9" spans="1:27" s="372" customFormat="1" ht="33" customHeight="1">
      <c r="A9" s="537"/>
      <c r="B9" s="537"/>
      <c r="C9" s="537"/>
      <c r="D9" s="537"/>
      <c r="E9" s="537"/>
      <c r="F9" s="537"/>
      <c r="G9" s="529"/>
      <c r="H9" s="529"/>
      <c r="I9" s="529" t="s">
        <v>201</v>
      </c>
      <c r="J9" s="529" t="s">
        <v>203</v>
      </c>
      <c r="K9" s="529" t="s">
        <v>204</v>
      </c>
      <c r="L9" s="529" t="s">
        <v>205</v>
      </c>
      <c r="M9" s="529"/>
      <c r="N9" s="529"/>
      <c r="O9" s="532"/>
      <c r="P9" s="532"/>
      <c r="Q9" s="532"/>
      <c r="R9" s="534"/>
      <c r="S9" s="532"/>
      <c r="T9" s="532"/>
      <c r="U9" s="532"/>
      <c r="V9" s="534"/>
      <c r="W9" s="532"/>
      <c r="X9" s="532"/>
      <c r="Y9" s="532"/>
      <c r="Z9" s="534"/>
      <c r="AA9" s="534"/>
    </row>
    <row r="10" spans="1:27" s="372" customFormat="1" ht="33" customHeight="1">
      <c r="A10" s="537"/>
      <c r="B10" s="537"/>
      <c r="C10" s="537"/>
      <c r="D10" s="537"/>
      <c r="E10" s="537"/>
      <c r="F10" s="537"/>
      <c r="G10" s="529"/>
      <c r="H10" s="529"/>
      <c r="I10" s="529"/>
      <c r="J10" s="529"/>
      <c r="K10" s="529"/>
      <c r="L10" s="529" t="s">
        <v>201</v>
      </c>
      <c r="M10" s="529" t="s">
        <v>47</v>
      </c>
      <c r="N10" s="529"/>
      <c r="O10" s="532"/>
      <c r="P10" s="532"/>
      <c r="Q10" s="532"/>
      <c r="R10" s="534"/>
      <c r="S10" s="532"/>
      <c r="T10" s="532"/>
      <c r="U10" s="532"/>
      <c r="V10" s="534"/>
      <c r="W10" s="532"/>
      <c r="X10" s="532"/>
      <c r="Y10" s="532"/>
      <c r="Z10" s="534"/>
      <c r="AA10" s="534"/>
    </row>
    <row r="11" spans="1:27" s="372" customFormat="1" ht="81.650000000000006" customHeight="1">
      <c r="A11" s="538"/>
      <c r="B11" s="538"/>
      <c r="C11" s="538"/>
      <c r="D11" s="538"/>
      <c r="E11" s="538"/>
      <c r="F11" s="538"/>
      <c r="G11" s="529"/>
      <c r="H11" s="529"/>
      <c r="I11" s="529"/>
      <c r="J11" s="529"/>
      <c r="K11" s="529"/>
      <c r="L11" s="529"/>
      <c r="M11" s="381" t="s">
        <v>206</v>
      </c>
      <c r="N11" s="381" t="s">
        <v>207</v>
      </c>
      <c r="O11" s="532"/>
      <c r="P11" s="532"/>
      <c r="Q11" s="532"/>
      <c r="R11" s="535"/>
      <c r="S11" s="532"/>
      <c r="T11" s="532"/>
      <c r="U11" s="532"/>
      <c r="V11" s="535"/>
      <c r="W11" s="532"/>
      <c r="X11" s="532"/>
      <c r="Y11" s="532"/>
      <c r="Z11" s="535"/>
      <c r="AA11" s="535"/>
    </row>
    <row r="12" spans="1:27" s="373" customFormat="1" ht="30.75" customHeight="1">
      <c r="A12" s="381">
        <v>1</v>
      </c>
      <c r="B12" s="381">
        <f>A12+1</f>
        <v>2</v>
      </c>
      <c r="C12" s="381">
        <v>3</v>
      </c>
      <c r="D12" s="381">
        <v>4</v>
      </c>
      <c r="E12" s="381">
        <f>D12+1</f>
        <v>5</v>
      </c>
      <c r="F12" s="381">
        <v>6</v>
      </c>
      <c r="G12" s="381">
        <v>7</v>
      </c>
      <c r="H12" s="381">
        <v>8</v>
      </c>
      <c r="I12" s="381">
        <v>9</v>
      </c>
      <c r="J12" s="381">
        <v>10</v>
      </c>
      <c r="K12" s="381">
        <v>11</v>
      </c>
      <c r="L12" s="381">
        <v>12</v>
      </c>
      <c r="M12" s="381">
        <v>13</v>
      </c>
      <c r="N12" s="381">
        <v>14</v>
      </c>
      <c r="O12" s="398">
        <v>15</v>
      </c>
      <c r="P12" s="398">
        <v>16</v>
      </c>
      <c r="Q12" s="398">
        <v>17</v>
      </c>
      <c r="R12" s="398">
        <v>18</v>
      </c>
      <c r="S12" s="437" t="s">
        <v>208</v>
      </c>
      <c r="T12" s="437" t="s">
        <v>209</v>
      </c>
      <c r="U12" s="437" t="s">
        <v>210</v>
      </c>
      <c r="V12" s="437" t="s">
        <v>211</v>
      </c>
      <c r="W12" s="437" t="s">
        <v>212</v>
      </c>
      <c r="X12" s="437" t="s">
        <v>213</v>
      </c>
      <c r="Y12" s="437" t="s">
        <v>214</v>
      </c>
      <c r="Z12" s="437" t="s">
        <v>215</v>
      </c>
      <c r="AA12" s="398">
        <v>27</v>
      </c>
    </row>
    <row r="13" spans="1:27" s="373" customFormat="1" ht="36.75" customHeight="1">
      <c r="A13" s="381"/>
      <c r="B13" s="382" t="s">
        <v>216</v>
      </c>
      <c r="C13" s="382"/>
      <c r="D13" s="381"/>
      <c r="E13" s="381"/>
      <c r="F13" s="381"/>
      <c r="G13" s="381"/>
      <c r="H13" s="383"/>
      <c r="I13" s="385">
        <f>I14</f>
        <v>1277853</v>
      </c>
      <c r="J13" s="385"/>
      <c r="K13" s="385"/>
      <c r="L13" s="385">
        <f t="shared" ref="L13:S14" si="0">L14</f>
        <v>5332399</v>
      </c>
      <c r="M13" s="385">
        <f t="shared" si="0"/>
        <v>3732679</v>
      </c>
      <c r="N13" s="385">
        <f t="shared" si="0"/>
        <v>1599720</v>
      </c>
      <c r="O13" s="399">
        <f t="shared" si="0"/>
        <v>0</v>
      </c>
      <c r="P13" s="399"/>
      <c r="Q13" s="399"/>
      <c r="R13" s="399">
        <f>R14</f>
        <v>0</v>
      </c>
      <c r="S13" s="399">
        <f t="shared" si="0"/>
        <v>0</v>
      </c>
      <c r="T13" s="399"/>
      <c r="U13" s="399"/>
      <c r="V13" s="399">
        <f>V14</f>
        <v>0</v>
      </c>
      <c r="W13" s="399">
        <f>W14</f>
        <v>0</v>
      </c>
      <c r="X13" s="399"/>
      <c r="Y13" s="399"/>
      <c r="Z13" s="399">
        <f>Z14</f>
        <v>0</v>
      </c>
      <c r="AA13" s="398"/>
    </row>
    <row r="14" spans="1:27" s="374" customFormat="1" ht="90" customHeight="1">
      <c r="A14" s="438" t="s">
        <v>61</v>
      </c>
      <c r="B14" s="384" t="s">
        <v>217</v>
      </c>
      <c r="C14" s="382"/>
      <c r="D14" s="382"/>
      <c r="E14" s="382"/>
      <c r="F14" s="382"/>
      <c r="G14" s="382"/>
      <c r="H14" s="385"/>
      <c r="I14" s="385">
        <f>I15</f>
        <v>1277853</v>
      </c>
      <c r="J14" s="385"/>
      <c r="K14" s="385"/>
      <c r="L14" s="385">
        <f t="shared" si="0"/>
        <v>5332399</v>
      </c>
      <c r="M14" s="385">
        <f t="shared" si="0"/>
        <v>3732679</v>
      </c>
      <c r="N14" s="385">
        <f t="shared" si="0"/>
        <v>1599720</v>
      </c>
      <c r="O14" s="399">
        <f t="shared" si="0"/>
        <v>0</v>
      </c>
      <c r="P14" s="399"/>
      <c r="Q14" s="399"/>
      <c r="R14" s="399">
        <f>R15</f>
        <v>0</v>
      </c>
      <c r="S14" s="399">
        <f t="shared" si="0"/>
        <v>0</v>
      </c>
      <c r="T14" s="399"/>
      <c r="U14" s="399"/>
      <c r="V14" s="399">
        <f>V15</f>
        <v>0</v>
      </c>
      <c r="W14" s="399">
        <f>W15</f>
        <v>0</v>
      </c>
      <c r="X14" s="399"/>
      <c r="Y14" s="399"/>
      <c r="Z14" s="399">
        <f>Z15</f>
        <v>0</v>
      </c>
      <c r="AA14" s="405"/>
    </row>
    <row r="15" spans="1:27" ht="46.5" customHeight="1">
      <c r="A15" s="386" t="s">
        <v>218</v>
      </c>
      <c r="B15" s="387" t="s">
        <v>79</v>
      </c>
      <c r="C15" s="387"/>
      <c r="D15" s="388"/>
      <c r="E15" s="388"/>
      <c r="F15" s="388"/>
      <c r="G15" s="388"/>
      <c r="H15" s="78"/>
      <c r="I15" s="397">
        <f>I18</f>
        <v>1277853</v>
      </c>
      <c r="J15" s="397"/>
      <c r="K15" s="397"/>
      <c r="L15" s="397">
        <f>L18</f>
        <v>5332399</v>
      </c>
      <c r="M15" s="397">
        <f>M18</f>
        <v>3732679</v>
      </c>
      <c r="N15" s="397">
        <f>N18</f>
        <v>1599720</v>
      </c>
      <c r="O15" s="400">
        <f>O18</f>
        <v>0</v>
      </c>
      <c r="P15" s="400"/>
      <c r="Q15" s="400"/>
      <c r="R15" s="400">
        <f>R18</f>
        <v>0</v>
      </c>
      <c r="S15" s="400">
        <f>S18</f>
        <v>0</v>
      </c>
      <c r="T15" s="400"/>
      <c r="U15" s="400"/>
      <c r="V15" s="400">
        <f>V18</f>
        <v>0</v>
      </c>
      <c r="W15" s="400">
        <f>W18</f>
        <v>0</v>
      </c>
      <c r="X15" s="400"/>
      <c r="Y15" s="400"/>
      <c r="Z15" s="400">
        <f>Z18</f>
        <v>0</v>
      </c>
      <c r="AA15" s="406"/>
    </row>
    <row r="16" spans="1:27" s="370" customFormat="1" ht="60.75" customHeight="1">
      <c r="A16" s="389"/>
      <c r="B16" s="390" t="s">
        <v>162</v>
      </c>
      <c r="C16" s="390"/>
      <c r="D16" s="391"/>
      <c r="E16" s="391"/>
      <c r="F16" s="391"/>
      <c r="G16" s="391"/>
      <c r="H16" s="79"/>
      <c r="I16" s="401"/>
      <c r="J16" s="401"/>
      <c r="K16" s="401"/>
      <c r="L16" s="401"/>
      <c r="M16" s="401"/>
      <c r="N16" s="401"/>
      <c r="O16" s="402"/>
      <c r="P16" s="402"/>
      <c r="Q16" s="402"/>
      <c r="R16" s="402"/>
      <c r="S16" s="402"/>
      <c r="T16" s="402"/>
      <c r="U16" s="402"/>
      <c r="V16" s="402"/>
      <c r="W16" s="402"/>
      <c r="X16" s="402"/>
      <c r="Y16" s="402"/>
      <c r="Z16" s="402"/>
      <c r="AA16" s="407"/>
    </row>
    <row r="17" spans="1:27" s="375" customFormat="1" ht="30" customHeight="1">
      <c r="A17" s="389" t="s">
        <v>219</v>
      </c>
      <c r="B17" s="390" t="s">
        <v>220</v>
      </c>
      <c r="C17" s="390"/>
      <c r="D17" s="392"/>
      <c r="E17" s="392"/>
      <c r="F17" s="392"/>
      <c r="G17" s="392"/>
      <c r="H17" s="393"/>
      <c r="I17" s="403"/>
      <c r="J17" s="403"/>
      <c r="K17" s="403"/>
      <c r="L17" s="403"/>
      <c r="M17" s="403"/>
      <c r="N17" s="403"/>
      <c r="O17" s="404"/>
      <c r="P17" s="404"/>
      <c r="Q17" s="404"/>
      <c r="R17" s="404"/>
      <c r="S17" s="404"/>
      <c r="T17" s="404"/>
      <c r="U17" s="404"/>
      <c r="V17" s="404"/>
      <c r="W17" s="404"/>
      <c r="X17" s="404"/>
      <c r="Y17" s="404"/>
      <c r="Z17" s="404"/>
      <c r="AA17" s="408"/>
    </row>
    <row r="18" spans="1:27" ht="193.5" customHeight="1">
      <c r="A18" s="394" t="s">
        <v>221</v>
      </c>
      <c r="B18" s="395" t="s">
        <v>222</v>
      </c>
      <c r="C18" s="395"/>
      <c r="D18" s="396" t="s">
        <v>223</v>
      </c>
      <c r="E18" s="396" t="s">
        <v>224</v>
      </c>
      <c r="F18" s="396" t="s">
        <v>225</v>
      </c>
      <c r="G18" s="396" t="s">
        <v>226</v>
      </c>
      <c r="H18" s="397">
        <v>6610252</v>
      </c>
      <c r="I18" s="397">
        <v>1277853</v>
      </c>
      <c r="J18" s="397">
        <v>0</v>
      </c>
      <c r="K18" s="397"/>
      <c r="L18" s="397">
        <v>5332399</v>
      </c>
      <c r="M18" s="397">
        <v>3732679</v>
      </c>
      <c r="N18" s="397">
        <v>1599720</v>
      </c>
      <c r="O18" s="400">
        <v>0</v>
      </c>
      <c r="P18" s="400"/>
      <c r="Q18" s="400"/>
      <c r="R18" s="400">
        <v>0</v>
      </c>
      <c r="S18" s="400">
        <v>0</v>
      </c>
      <c r="T18" s="400"/>
      <c r="U18" s="400"/>
      <c r="V18" s="400"/>
      <c r="W18" s="400"/>
      <c r="X18" s="400"/>
      <c r="Y18" s="400"/>
      <c r="Z18" s="400"/>
      <c r="AA18" s="406"/>
    </row>
    <row r="19" spans="1:27">
      <c r="A19" s="376"/>
      <c r="B19" s="376"/>
      <c r="C19" s="376"/>
      <c r="D19" s="376"/>
      <c r="E19" s="376"/>
      <c r="F19" s="376"/>
      <c r="G19" s="376"/>
      <c r="H19" s="376"/>
      <c r="I19" s="376"/>
      <c r="J19" s="376"/>
      <c r="K19" s="376"/>
      <c r="L19" s="376"/>
      <c r="M19" s="376"/>
      <c r="N19" s="376"/>
      <c r="O19" s="376"/>
      <c r="P19" s="376"/>
      <c r="Q19" s="376"/>
      <c r="R19" s="376"/>
      <c r="S19" s="376"/>
      <c r="T19" s="376"/>
      <c r="U19" s="376"/>
      <c r="V19" s="376"/>
      <c r="W19" s="376"/>
      <c r="X19" s="376"/>
      <c r="Y19" s="376"/>
      <c r="Z19" s="376"/>
      <c r="AA19" s="376"/>
    </row>
    <row r="20" spans="1:27">
      <c r="A20" s="376"/>
      <c r="B20" s="376"/>
      <c r="C20" s="376"/>
      <c r="D20" s="376"/>
      <c r="E20" s="376"/>
      <c r="F20" s="376"/>
      <c r="G20" s="376"/>
      <c r="H20" s="376"/>
      <c r="I20" s="376"/>
      <c r="J20" s="376"/>
      <c r="K20" s="376"/>
      <c r="L20" s="376"/>
      <c r="M20" s="376"/>
      <c r="N20" s="376"/>
      <c r="O20" s="376"/>
      <c r="P20" s="376"/>
      <c r="Q20" s="376"/>
      <c r="R20" s="376"/>
      <c r="S20" s="376"/>
      <c r="T20" s="376"/>
      <c r="U20" s="376"/>
      <c r="V20" s="376"/>
      <c r="W20" s="376"/>
      <c r="X20" s="376"/>
      <c r="Y20" s="376"/>
      <c r="Z20" s="376"/>
      <c r="AA20" s="376"/>
    </row>
    <row r="21" spans="1:27">
      <c r="A21" s="376"/>
      <c r="B21" s="376"/>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row>
    <row r="22" spans="1:27">
      <c r="A22" s="376"/>
      <c r="B22" s="376"/>
      <c r="C22" s="376"/>
      <c r="D22" s="376"/>
      <c r="E22" s="376"/>
      <c r="F22" s="376"/>
      <c r="G22" s="376"/>
      <c r="H22" s="376"/>
      <c r="I22" s="376"/>
      <c r="J22" s="376"/>
      <c r="K22" s="376"/>
      <c r="L22" s="376"/>
      <c r="M22" s="376"/>
      <c r="N22" s="376"/>
      <c r="O22" s="376"/>
      <c r="P22" s="376"/>
      <c r="Q22" s="376"/>
      <c r="R22" s="376"/>
      <c r="S22" s="376"/>
      <c r="T22" s="376"/>
      <c r="U22" s="376"/>
      <c r="V22" s="376"/>
      <c r="W22" s="376"/>
      <c r="X22" s="376"/>
      <c r="Y22" s="376"/>
      <c r="Z22" s="376"/>
      <c r="AA22" s="376"/>
    </row>
    <row r="23" spans="1:27">
      <c r="A23" s="376"/>
      <c r="B23" s="376"/>
      <c r="C23" s="376"/>
      <c r="D23" s="376"/>
      <c r="E23" s="376"/>
      <c r="F23" s="376"/>
      <c r="G23" s="376"/>
      <c r="H23" s="376"/>
      <c r="I23" s="376"/>
      <c r="J23" s="376"/>
      <c r="K23" s="376"/>
      <c r="L23" s="376"/>
      <c r="M23" s="376"/>
      <c r="N23" s="376"/>
      <c r="O23" s="376"/>
      <c r="P23" s="376"/>
      <c r="Q23" s="376"/>
      <c r="R23" s="376"/>
      <c r="S23" s="376"/>
      <c r="T23" s="376"/>
      <c r="U23" s="376"/>
      <c r="V23" s="376"/>
      <c r="W23" s="376"/>
      <c r="X23" s="376"/>
      <c r="Y23" s="376"/>
      <c r="Z23" s="376"/>
      <c r="AA23" s="376"/>
    </row>
    <row r="24" spans="1:27">
      <c r="A24" s="376"/>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row>
    <row r="25" spans="1:27">
      <c r="A25" s="376"/>
      <c r="B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row>
    <row r="26" spans="1:27">
      <c r="A26" s="376"/>
      <c r="B26" s="376"/>
      <c r="C26" s="376"/>
      <c r="D26" s="376"/>
      <c r="E26" s="376"/>
      <c r="F26" s="376"/>
      <c r="G26" s="376"/>
      <c r="H26" s="376"/>
      <c r="I26" s="376"/>
      <c r="J26" s="376"/>
      <c r="K26" s="376"/>
      <c r="L26" s="376"/>
      <c r="M26" s="376"/>
      <c r="N26" s="376"/>
      <c r="O26" s="376"/>
      <c r="P26" s="376"/>
      <c r="Q26" s="376"/>
      <c r="R26" s="376"/>
      <c r="S26" s="376"/>
      <c r="T26" s="376"/>
      <c r="U26" s="376"/>
      <c r="V26" s="376"/>
      <c r="W26" s="376"/>
      <c r="X26" s="376"/>
      <c r="Y26" s="376"/>
      <c r="Z26" s="376"/>
      <c r="AA26" s="376"/>
    </row>
    <row r="27" spans="1:27">
      <c r="A27" s="376"/>
      <c r="B27" s="376"/>
      <c r="C27" s="376"/>
      <c r="D27" s="376"/>
      <c r="E27" s="376"/>
      <c r="F27" s="376"/>
      <c r="G27" s="376"/>
      <c r="H27" s="376"/>
      <c r="I27" s="376"/>
      <c r="J27" s="376"/>
      <c r="K27" s="376"/>
      <c r="L27" s="376"/>
      <c r="M27" s="376"/>
      <c r="N27" s="376"/>
      <c r="O27" s="376"/>
      <c r="P27" s="376"/>
      <c r="Q27" s="376"/>
      <c r="R27" s="376"/>
      <c r="S27" s="376"/>
      <c r="T27" s="376"/>
      <c r="U27" s="376"/>
      <c r="V27" s="376"/>
      <c r="W27" s="376"/>
      <c r="X27" s="376"/>
      <c r="Y27" s="376"/>
      <c r="Z27" s="376"/>
      <c r="AA27" s="376"/>
    </row>
    <row r="28" spans="1:27">
      <c r="A28" s="376"/>
      <c r="B28" s="376"/>
      <c r="C28" s="376"/>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row>
    <row r="29" spans="1:27">
      <c r="A29" s="376"/>
      <c r="B29" s="376"/>
      <c r="C29" s="376"/>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row>
    <row r="30" spans="1:27">
      <c r="A30" s="376"/>
      <c r="B30" s="376"/>
      <c r="C30" s="376"/>
      <c r="D30" s="376"/>
      <c r="E30" s="376"/>
      <c r="F30" s="376"/>
      <c r="G30" s="376"/>
      <c r="H30" s="376"/>
      <c r="I30" s="376"/>
      <c r="J30" s="376"/>
      <c r="K30" s="376"/>
      <c r="L30" s="376"/>
      <c r="M30" s="376"/>
      <c r="N30" s="376"/>
      <c r="O30" s="376"/>
      <c r="P30" s="376"/>
      <c r="Q30" s="376"/>
      <c r="R30" s="376"/>
      <c r="S30" s="376"/>
      <c r="T30" s="376"/>
      <c r="U30" s="376"/>
      <c r="V30" s="376"/>
      <c r="W30" s="376"/>
      <c r="X30" s="376"/>
      <c r="Y30" s="376"/>
      <c r="Z30" s="376"/>
      <c r="AA30" s="376"/>
    </row>
    <row r="31" spans="1:27">
      <c r="A31" s="376"/>
      <c r="B31" s="376"/>
      <c r="C31" s="376"/>
      <c r="D31" s="376"/>
      <c r="E31" s="376"/>
      <c r="F31" s="376"/>
      <c r="G31" s="376"/>
      <c r="H31" s="376"/>
      <c r="I31" s="376"/>
      <c r="J31" s="376"/>
      <c r="K31" s="376"/>
      <c r="L31" s="376"/>
      <c r="M31" s="376"/>
      <c r="N31" s="376"/>
      <c r="O31" s="376"/>
      <c r="P31" s="376"/>
      <c r="Q31" s="376"/>
      <c r="R31" s="376"/>
      <c r="S31" s="376"/>
      <c r="T31" s="376"/>
      <c r="U31" s="376"/>
      <c r="V31" s="376"/>
      <c r="W31" s="376"/>
      <c r="X31" s="376"/>
      <c r="Y31" s="376"/>
      <c r="Z31" s="376"/>
      <c r="AA31" s="376"/>
    </row>
    <row r="32" spans="1:27">
      <c r="A32" s="376"/>
      <c r="B32" s="376"/>
      <c r="C32" s="376"/>
      <c r="D32" s="376"/>
      <c r="E32" s="376"/>
      <c r="F32" s="376"/>
      <c r="G32" s="376"/>
      <c r="H32" s="376"/>
      <c r="I32" s="376"/>
      <c r="J32" s="376"/>
      <c r="K32" s="376"/>
      <c r="L32" s="376"/>
      <c r="M32" s="376"/>
      <c r="N32" s="376"/>
      <c r="O32" s="376"/>
      <c r="P32" s="376"/>
      <c r="Q32" s="376"/>
      <c r="R32" s="376"/>
      <c r="S32" s="376"/>
      <c r="T32" s="376"/>
      <c r="U32" s="376"/>
      <c r="V32" s="376"/>
      <c r="W32" s="376"/>
      <c r="X32" s="376"/>
      <c r="Y32" s="376"/>
      <c r="Z32" s="376"/>
      <c r="AA32" s="376"/>
    </row>
    <row r="33" s="376" customFormat="1"/>
    <row r="34" s="376" customFormat="1"/>
    <row r="35" s="376" customFormat="1"/>
    <row r="36" s="376" customFormat="1"/>
    <row r="37" s="376" customFormat="1"/>
    <row r="38" s="376" customFormat="1"/>
    <row r="39" s="376" customFormat="1"/>
    <row r="40" s="376" customFormat="1"/>
    <row r="41" s="376" customFormat="1"/>
    <row r="42" s="376" customFormat="1"/>
    <row r="43" s="376" customFormat="1"/>
    <row r="44" s="376" customFormat="1"/>
    <row r="45" s="376" customFormat="1"/>
    <row r="46" s="376" customFormat="1"/>
    <row r="47" s="376" customFormat="1"/>
    <row r="48" s="376" customFormat="1"/>
    <row r="49" s="376" customFormat="1"/>
    <row r="50" s="376" customFormat="1"/>
    <row r="51" s="376" customFormat="1"/>
    <row r="52" s="376" customFormat="1"/>
    <row r="53" s="376" customFormat="1"/>
    <row r="54" s="376" customFormat="1"/>
    <row r="55" s="376" customFormat="1"/>
    <row r="56" s="376" customFormat="1"/>
    <row r="57" s="376" customFormat="1"/>
    <row r="58" s="376" customFormat="1"/>
    <row r="59" s="376" customFormat="1"/>
    <row r="60" s="376" customFormat="1"/>
    <row r="61" s="376" customFormat="1"/>
    <row r="62" s="376" customFormat="1"/>
    <row r="63" s="376" customFormat="1"/>
    <row r="64" s="376" customFormat="1"/>
    <row r="65" s="376" customFormat="1"/>
    <row r="66" s="376" customFormat="1"/>
    <row r="67" s="376" customFormat="1"/>
    <row r="68" s="376" customFormat="1"/>
    <row r="69" s="376" customFormat="1"/>
    <row r="70" s="376" customFormat="1"/>
    <row r="71" s="376" customFormat="1"/>
    <row r="72" s="376" customFormat="1"/>
    <row r="73" s="376" customFormat="1"/>
    <row r="74" s="376" customFormat="1"/>
    <row r="75" s="376" customFormat="1"/>
    <row r="76" s="376" customFormat="1"/>
    <row r="77" s="376" customFormat="1"/>
    <row r="78" s="376" customFormat="1"/>
    <row r="79" s="376" customFormat="1"/>
    <row r="80" s="376" customFormat="1"/>
    <row r="81" s="376" customFormat="1"/>
    <row r="82" s="376" customFormat="1"/>
    <row r="83" s="376" customFormat="1"/>
    <row r="84" s="376" customFormat="1"/>
    <row r="85" s="376" customFormat="1"/>
    <row r="86" s="376" customFormat="1"/>
    <row r="87" s="376" customFormat="1"/>
    <row r="88" s="376" customFormat="1"/>
    <row r="89" s="376" customFormat="1"/>
    <row r="90" s="376" customFormat="1"/>
    <row r="91" s="376" customFormat="1"/>
    <row r="92" s="376" customFormat="1"/>
    <row r="93" s="376" customFormat="1"/>
    <row r="94" s="376" customFormat="1"/>
    <row r="95" s="376" customFormat="1"/>
    <row r="96" s="376" customFormat="1"/>
    <row r="97" s="376" customFormat="1"/>
    <row r="98" s="376" customFormat="1"/>
    <row r="99" s="376" customFormat="1"/>
    <row r="100" s="376" customFormat="1"/>
    <row r="101" s="376" customFormat="1"/>
    <row r="102" s="376" customFormat="1"/>
    <row r="103" s="376" customFormat="1"/>
    <row r="104" s="376" customFormat="1"/>
    <row r="105" s="376" customFormat="1"/>
    <row r="106" s="376" customFormat="1"/>
    <row r="107" s="376" customFormat="1"/>
    <row r="108" s="376" customFormat="1"/>
    <row r="109" s="376" customFormat="1"/>
    <row r="110" s="376" customFormat="1"/>
    <row r="111" s="376" customFormat="1"/>
    <row r="112" s="376" customFormat="1"/>
    <row r="113" s="376" customFormat="1"/>
    <row r="114" s="376" customFormat="1"/>
    <row r="115" s="376" customFormat="1"/>
    <row r="116" s="376" customFormat="1"/>
    <row r="117" s="376" customFormat="1"/>
    <row r="118" s="376" customFormat="1"/>
    <row r="119" s="376" customFormat="1"/>
    <row r="120" s="376" customFormat="1"/>
    <row r="121" s="376" customFormat="1"/>
    <row r="122" s="376" customFormat="1"/>
    <row r="123" s="376" customFormat="1"/>
    <row r="124" s="376" customFormat="1"/>
    <row r="125" s="376" customFormat="1"/>
    <row r="126" s="376" customFormat="1"/>
    <row r="127" s="376" customFormat="1"/>
    <row r="128" s="376" customFormat="1"/>
    <row r="129" s="376" customFormat="1"/>
    <row r="130" s="376" customFormat="1"/>
    <row r="131" s="376" customFormat="1"/>
    <row r="132" s="376" customFormat="1"/>
    <row r="133" s="376" customFormat="1"/>
    <row r="134" s="376" customFormat="1"/>
    <row r="135" s="376" customFormat="1"/>
    <row r="136" s="376" customFormat="1"/>
    <row r="137" s="376" customFormat="1"/>
    <row r="138" s="376" customFormat="1"/>
    <row r="139" s="376" customFormat="1"/>
    <row r="140" s="376" customFormat="1"/>
    <row r="141" s="376" customFormat="1"/>
    <row r="142" s="376" customFormat="1"/>
    <row r="143" s="376" customFormat="1"/>
    <row r="144" s="376" customFormat="1"/>
    <row r="145" s="376" customFormat="1"/>
    <row r="146" s="376" customFormat="1"/>
    <row r="147" s="376" customFormat="1"/>
    <row r="148" s="376" customFormat="1"/>
    <row r="149" s="376" customFormat="1"/>
    <row r="150" s="376" customFormat="1"/>
    <row r="151" s="376" customFormat="1"/>
    <row r="152" s="376" customFormat="1"/>
    <row r="153" s="376" customFormat="1"/>
    <row r="154" s="376" customFormat="1"/>
    <row r="155" s="376" customFormat="1"/>
    <row r="156" s="376" customFormat="1"/>
    <row r="157" s="376" customFormat="1"/>
    <row r="158" s="376" customFormat="1"/>
    <row r="159" s="376" customFormat="1"/>
    <row r="160" s="376" customFormat="1"/>
    <row r="161" s="376" customFormat="1"/>
    <row r="162" s="376" customFormat="1"/>
    <row r="163" s="376" customFormat="1"/>
    <row r="164" s="376" customFormat="1"/>
    <row r="165" s="376" customFormat="1"/>
    <row r="166" s="376" customFormat="1"/>
    <row r="167" s="376" customFormat="1"/>
    <row r="168" s="376" customFormat="1"/>
    <row r="169" s="376" customFormat="1"/>
    <row r="170" s="376" customFormat="1"/>
    <row r="171" s="376" customFormat="1"/>
    <row r="172" s="376" customFormat="1"/>
    <row r="173" s="376" customFormat="1"/>
    <row r="174" s="376" customFormat="1"/>
    <row r="175" s="376" customFormat="1"/>
    <row r="176" s="376" customFormat="1"/>
    <row r="177" s="376" customFormat="1"/>
    <row r="178" s="376" customFormat="1"/>
    <row r="179" s="376" customFormat="1"/>
    <row r="180" s="376" customFormat="1"/>
    <row r="181" s="376" customFormat="1"/>
    <row r="182" s="376" customFormat="1"/>
    <row r="183" s="376" customFormat="1"/>
    <row r="184" s="376" customFormat="1"/>
    <row r="185" s="376" customFormat="1"/>
    <row r="186" s="376" customFormat="1"/>
    <row r="187" s="376" customFormat="1"/>
    <row r="188" s="376" customFormat="1"/>
    <row r="189" s="376" customFormat="1"/>
    <row r="190" s="376" customFormat="1"/>
    <row r="191" s="376" customFormat="1"/>
    <row r="192" s="376" customFormat="1"/>
    <row r="193" s="376" customFormat="1"/>
    <row r="194" s="376" customFormat="1"/>
    <row r="195" s="376" customFormat="1"/>
    <row r="196" s="376" customFormat="1"/>
    <row r="197" s="376" customFormat="1"/>
    <row r="198" s="376" customFormat="1"/>
    <row r="199" s="376" customFormat="1"/>
    <row r="200" s="376" customFormat="1"/>
    <row r="201" s="376" customFormat="1"/>
    <row r="202" s="376" customFormat="1"/>
    <row r="203" s="376" customFormat="1"/>
    <row r="204" s="376" customFormat="1"/>
    <row r="205" s="376" customFormat="1"/>
    <row r="206" s="376" customFormat="1"/>
    <row r="207" s="376" customFormat="1"/>
    <row r="208" s="376" customFormat="1"/>
    <row r="209" s="376" customFormat="1"/>
    <row r="210" s="376" customFormat="1"/>
    <row r="211" s="376" customFormat="1"/>
    <row r="212" s="376" customFormat="1"/>
    <row r="213" s="376" customFormat="1"/>
    <row r="214" s="376" customFormat="1"/>
    <row r="215" s="376" customFormat="1"/>
    <row r="216" s="376" customFormat="1"/>
    <row r="217" s="376" customFormat="1"/>
    <row r="218" s="376" customFormat="1"/>
    <row r="219" s="376" customFormat="1"/>
    <row r="220" s="376" customFormat="1"/>
    <row r="221" s="376" customFormat="1"/>
    <row r="222" s="376" customFormat="1"/>
    <row r="223" s="376" customFormat="1"/>
    <row r="224" s="376" customFormat="1"/>
    <row r="225" s="376" customFormat="1"/>
    <row r="226" s="376" customFormat="1"/>
    <row r="227" s="376" customFormat="1"/>
    <row r="228" s="376" customFormat="1"/>
    <row r="229" s="376" customFormat="1"/>
    <row r="230" s="376" customFormat="1"/>
    <row r="231" s="376" customFormat="1"/>
    <row r="232" s="376" customFormat="1"/>
    <row r="233" s="376" customFormat="1"/>
    <row r="234" s="376" customFormat="1"/>
    <row r="235" s="376" customFormat="1"/>
    <row r="236" s="376" customFormat="1"/>
    <row r="237" s="376" customFormat="1"/>
    <row r="238" s="376" customFormat="1"/>
    <row r="239" s="376" customFormat="1"/>
    <row r="240" s="376" customFormat="1"/>
    <row r="241" s="376" customFormat="1"/>
    <row r="242" s="376" customFormat="1"/>
    <row r="243" s="376" customFormat="1"/>
    <row r="244" s="376" customFormat="1"/>
    <row r="245" s="376" customFormat="1"/>
    <row r="246" s="376" customFormat="1"/>
    <row r="247" s="376" customFormat="1"/>
    <row r="248" s="376" customFormat="1"/>
    <row r="249" s="376" customFormat="1"/>
    <row r="250" s="376" customFormat="1"/>
    <row r="251" s="376" customFormat="1"/>
    <row r="252" s="376" customFormat="1"/>
    <row r="253" s="376" customFormat="1"/>
    <row r="254" s="376" customFormat="1"/>
    <row r="255" s="376" customFormat="1"/>
    <row r="256" s="376" customFormat="1"/>
    <row r="257" s="376" customFormat="1"/>
    <row r="258" s="376" customFormat="1"/>
    <row r="259" s="376" customFormat="1"/>
    <row r="260" s="376" customFormat="1"/>
    <row r="261" s="376" customFormat="1"/>
    <row r="262" s="376" customFormat="1"/>
    <row r="263" s="376" customFormat="1"/>
    <row r="264" s="376" customFormat="1"/>
    <row r="265" s="376" customFormat="1"/>
    <row r="266" s="376" customFormat="1"/>
    <row r="267" s="376" customFormat="1"/>
    <row r="268" s="376" customFormat="1"/>
    <row r="269" s="376" customFormat="1"/>
    <row r="270" s="376" customFormat="1"/>
    <row r="271" s="376" customFormat="1"/>
    <row r="272" s="376" customFormat="1"/>
    <row r="273" s="376" customFormat="1"/>
    <row r="274" s="376" customFormat="1"/>
    <row r="275" s="376" customFormat="1"/>
    <row r="276" s="376" customFormat="1"/>
    <row r="277" s="376" customFormat="1"/>
    <row r="278" s="376" customFormat="1"/>
    <row r="279" s="376" customFormat="1"/>
    <row r="280" s="376" customFormat="1"/>
    <row r="281" s="376" customFormat="1"/>
    <row r="282" s="376" customFormat="1"/>
    <row r="283" s="376" customFormat="1"/>
    <row r="284" s="376" customFormat="1"/>
    <row r="285" s="376" customFormat="1"/>
    <row r="286" s="376" customFormat="1"/>
    <row r="287" s="376" customFormat="1"/>
    <row r="288" s="376" customFormat="1"/>
    <row r="289" s="376" customFormat="1"/>
    <row r="290" s="376" customFormat="1"/>
    <row r="291" s="376" customFormat="1"/>
    <row r="292" s="376" customFormat="1"/>
    <row r="293" s="376" customFormat="1"/>
    <row r="294" s="376" customFormat="1"/>
    <row r="295" s="376" customFormat="1"/>
    <row r="296" s="376" customFormat="1"/>
    <row r="297" s="376" customFormat="1"/>
    <row r="298" s="376" customFormat="1"/>
    <row r="299" s="376" customFormat="1"/>
    <row r="300" s="376" customFormat="1"/>
  </sheetData>
  <mergeCells count="44">
    <mergeCell ref="X8:X11"/>
    <mergeCell ref="Y8:Y11"/>
    <mergeCell ref="Z7:Z11"/>
    <mergeCell ref="AA4:AA11"/>
    <mergeCell ref="O4:R5"/>
    <mergeCell ref="S4:V5"/>
    <mergeCell ref="W4:Z5"/>
    <mergeCell ref="L9:N9"/>
    <mergeCell ref="M10:N10"/>
    <mergeCell ref="A4:A11"/>
    <mergeCell ref="B4:B11"/>
    <mergeCell ref="C4:C11"/>
    <mergeCell ref="D4:D11"/>
    <mergeCell ref="E4:E11"/>
    <mergeCell ref="F4:F11"/>
    <mergeCell ref="G5:G11"/>
    <mergeCell ref="H6:H11"/>
    <mergeCell ref="I9:I11"/>
    <mergeCell ref="J9:J11"/>
    <mergeCell ref="K9:K11"/>
    <mergeCell ref="L10:L11"/>
    <mergeCell ref="I7:J8"/>
    <mergeCell ref="K7:N8"/>
    <mergeCell ref="I6:N6"/>
    <mergeCell ref="P6:R6"/>
    <mergeCell ref="T6:V6"/>
    <mergeCell ref="X6:Z6"/>
    <mergeCell ref="P7:Q7"/>
    <mergeCell ref="T7:U7"/>
    <mergeCell ref="X7:Y7"/>
    <mergeCell ref="O6:O11"/>
    <mergeCell ref="P8:P11"/>
    <mergeCell ref="Q8:Q11"/>
    <mergeCell ref="R7:R11"/>
    <mergeCell ref="S6:S11"/>
    <mergeCell ref="T8:T11"/>
    <mergeCell ref="U8:U11"/>
    <mergeCell ref="V7:V11"/>
    <mergeCell ref="W6:W11"/>
    <mergeCell ref="A1:AA1"/>
    <mergeCell ref="A2:AA2"/>
    <mergeCell ref="A3:AA3"/>
    <mergeCell ref="G4:N4"/>
    <mergeCell ref="H5:N5"/>
  </mergeCells>
  <pageMargins left="0.3" right="0.17" top="0.49" bottom="0.39" header="0.3" footer="0.3"/>
  <pageSetup paperSize="8" scale="72"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Z29"/>
  <sheetViews>
    <sheetView topLeftCell="A10" zoomScale="70" zoomScaleNormal="70" workbookViewId="0">
      <selection activeCell="D16" sqref="D16"/>
    </sheetView>
  </sheetViews>
  <sheetFormatPr defaultColWidth="9.1796875" defaultRowHeight="15.5"/>
  <cols>
    <col min="1" max="1" width="6.7265625" style="3" customWidth="1"/>
    <col min="2" max="2" width="11.81640625" style="8" customWidth="1"/>
    <col min="3" max="3" width="10.7265625" style="8" customWidth="1"/>
    <col min="4" max="4" width="26.7265625" style="8" customWidth="1"/>
    <col min="5" max="5" width="7.7265625" style="8" customWidth="1"/>
    <col min="6" max="7" width="13.26953125" style="8" customWidth="1"/>
    <col min="8" max="8" width="10.7265625" style="8" customWidth="1"/>
    <col min="9" max="9" width="10.453125" style="3" customWidth="1"/>
    <col min="10" max="10" width="9.26953125" style="3" customWidth="1"/>
    <col min="11" max="11" width="9.453125" style="3" customWidth="1"/>
    <col min="12" max="12" width="12.1796875" style="8" customWidth="1"/>
    <col min="13" max="14" width="13" style="8" customWidth="1"/>
    <col min="15" max="15" width="10.7265625" style="8" customWidth="1"/>
    <col min="16" max="16" width="11.7265625" style="3" customWidth="1"/>
    <col min="17" max="17" width="9.26953125" style="3" customWidth="1"/>
    <col min="18" max="18" width="12" style="3" customWidth="1"/>
    <col min="19" max="19" width="10.453125" style="3" customWidth="1"/>
    <col min="20" max="20" width="11.7265625" style="3" customWidth="1"/>
    <col min="21" max="21" width="10.7265625" style="3" customWidth="1"/>
    <col min="22" max="23" width="14" style="3" customWidth="1"/>
    <col min="24" max="24" width="11.81640625" style="3" customWidth="1"/>
    <col min="25" max="25" width="9.1796875" style="8"/>
    <col min="26" max="26" width="17.1796875" style="8" customWidth="1"/>
    <col min="27" max="16384" width="9.1796875" style="8"/>
  </cols>
  <sheetData>
    <row r="1" spans="1:26" ht="23.5">
      <c r="A1" s="512" t="s">
        <v>227</v>
      </c>
      <c r="B1" s="513"/>
      <c r="C1" s="513"/>
      <c r="D1" s="513"/>
      <c r="E1" s="513"/>
      <c r="F1" s="513"/>
      <c r="G1" s="513"/>
      <c r="H1" s="513"/>
      <c r="I1" s="513"/>
      <c r="J1" s="513"/>
      <c r="K1" s="513"/>
      <c r="L1" s="513"/>
      <c r="M1" s="513"/>
      <c r="N1" s="513"/>
      <c r="O1" s="513"/>
      <c r="P1" s="513"/>
      <c r="Q1" s="514"/>
      <c r="R1" s="514"/>
      <c r="S1" s="514"/>
      <c r="T1" s="514"/>
      <c r="U1" s="514"/>
      <c r="V1" s="514"/>
      <c r="W1" s="514"/>
      <c r="X1" s="514"/>
    </row>
    <row r="2" spans="1:26" ht="23.5">
      <c r="A2" s="512" t="s">
        <v>228</v>
      </c>
      <c r="B2" s="513"/>
      <c r="C2" s="513"/>
      <c r="D2" s="513"/>
      <c r="E2" s="513"/>
      <c r="F2" s="513"/>
      <c r="G2" s="513"/>
      <c r="H2" s="513"/>
      <c r="I2" s="513"/>
      <c r="J2" s="513"/>
      <c r="K2" s="513"/>
      <c r="L2" s="513"/>
      <c r="M2" s="513"/>
      <c r="N2" s="513"/>
      <c r="O2" s="513"/>
      <c r="P2" s="513"/>
      <c r="Q2" s="514"/>
      <c r="R2" s="514"/>
      <c r="S2" s="514"/>
      <c r="T2" s="514"/>
      <c r="U2" s="514"/>
      <c r="V2" s="514"/>
      <c r="W2" s="514"/>
      <c r="X2" s="514"/>
    </row>
    <row r="3" spans="1:26" ht="33" customHeight="1">
      <c r="A3" s="515" t="s">
        <v>2</v>
      </c>
      <c r="B3" s="516"/>
      <c r="C3" s="516"/>
      <c r="D3" s="516"/>
      <c r="E3" s="516"/>
      <c r="F3" s="516"/>
      <c r="G3" s="516"/>
      <c r="H3" s="516"/>
      <c r="I3" s="516"/>
      <c r="J3" s="516"/>
      <c r="K3" s="516"/>
      <c r="L3" s="516"/>
      <c r="M3" s="516"/>
      <c r="N3" s="516"/>
      <c r="O3" s="516"/>
      <c r="P3" s="516"/>
      <c r="Q3" s="517"/>
      <c r="R3" s="517"/>
      <c r="S3" s="517"/>
      <c r="T3" s="517"/>
      <c r="U3" s="517"/>
      <c r="V3" s="517"/>
      <c r="W3" s="517"/>
      <c r="X3" s="517"/>
    </row>
    <row r="4" spans="1:26" s="4" customFormat="1" ht="45" customHeight="1">
      <c r="A4" s="493" t="s">
        <v>3</v>
      </c>
      <c r="B4" s="493" t="s">
        <v>4</v>
      </c>
      <c r="C4" s="493" t="s">
        <v>5</v>
      </c>
      <c r="D4" s="496" t="s">
        <v>7</v>
      </c>
      <c r="E4" s="493" t="s">
        <v>153</v>
      </c>
      <c r="F4" s="493"/>
      <c r="G4" s="493"/>
      <c r="H4" s="493"/>
      <c r="I4" s="493"/>
      <c r="J4" s="493"/>
      <c r="K4" s="493"/>
      <c r="L4" s="493"/>
      <c r="M4" s="493"/>
      <c r="N4" s="493"/>
      <c r="O4" s="496" t="s">
        <v>9</v>
      </c>
      <c r="P4" s="518" t="s">
        <v>229</v>
      </c>
      <c r="Q4" s="519"/>
      <c r="R4" s="518" t="s">
        <v>155</v>
      </c>
      <c r="S4" s="519"/>
      <c r="T4" s="518" t="s">
        <v>156</v>
      </c>
      <c r="U4" s="519"/>
      <c r="V4" s="518" t="s">
        <v>157</v>
      </c>
      <c r="W4" s="519"/>
      <c r="X4" s="496" t="s">
        <v>14</v>
      </c>
    </row>
    <row r="5" spans="1:26" s="4" customFormat="1" ht="64.5" customHeight="1">
      <c r="A5" s="493"/>
      <c r="B5" s="493"/>
      <c r="C5" s="493"/>
      <c r="D5" s="496"/>
      <c r="E5" s="493" t="s">
        <v>15</v>
      </c>
      <c r="F5" s="493"/>
      <c r="G5" s="493"/>
      <c r="H5" s="493" t="s">
        <v>16</v>
      </c>
      <c r="I5" s="493"/>
      <c r="J5" s="493"/>
      <c r="K5" s="493"/>
      <c r="L5" s="493"/>
      <c r="M5" s="493"/>
      <c r="N5" s="493"/>
      <c r="O5" s="496"/>
      <c r="P5" s="520" t="s">
        <v>230</v>
      </c>
      <c r="Q5" s="520" t="s">
        <v>104</v>
      </c>
      <c r="R5" s="520" t="s">
        <v>230</v>
      </c>
      <c r="S5" s="520" t="s">
        <v>104</v>
      </c>
      <c r="T5" s="520" t="s">
        <v>230</v>
      </c>
      <c r="U5" s="520" t="s">
        <v>104</v>
      </c>
      <c r="V5" s="520" t="s">
        <v>230</v>
      </c>
      <c r="W5" s="520" t="s">
        <v>104</v>
      </c>
      <c r="X5" s="496"/>
    </row>
    <row r="6" spans="1:26" s="4" customFormat="1">
      <c r="A6" s="493"/>
      <c r="B6" s="493"/>
      <c r="C6" s="493"/>
      <c r="D6" s="496"/>
      <c r="E6" s="549" t="s">
        <v>22</v>
      </c>
      <c r="F6" s="503" t="s">
        <v>23</v>
      </c>
      <c r="G6" s="503"/>
      <c r="H6" s="496" t="s">
        <v>24</v>
      </c>
      <c r="I6" s="496" t="s">
        <v>25</v>
      </c>
      <c r="J6" s="496" t="s">
        <v>26</v>
      </c>
      <c r="K6" s="496"/>
      <c r="L6" s="496" t="s">
        <v>22</v>
      </c>
      <c r="M6" s="503" t="s">
        <v>23</v>
      </c>
      <c r="N6" s="503"/>
      <c r="O6" s="496"/>
      <c r="P6" s="521"/>
      <c r="Q6" s="521"/>
      <c r="R6" s="521"/>
      <c r="S6" s="521"/>
      <c r="T6" s="521"/>
      <c r="U6" s="521"/>
      <c r="V6" s="521"/>
      <c r="W6" s="521"/>
      <c r="X6" s="496"/>
    </row>
    <row r="7" spans="1:26" s="4" customFormat="1" ht="126" customHeight="1">
      <c r="A7" s="493"/>
      <c r="B7" s="493"/>
      <c r="C7" s="493"/>
      <c r="D7" s="496"/>
      <c r="E7" s="549"/>
      <c r="F7" s="181" t="s">
        <v>231</v>
      </c>
      <c r="G7" s="181" t="s">
        <v>104</v>
      </c>
      <c r="H7" s="496"/>
      <c r="I7" s="496"/>
      <c r="J7" s="180" t="s">
        <v>40</v>
      </c>
      <c r="K7" s="180" t="s">
        <v>41</v>
      </c>
      <c r="L7" s="496"/>
      <c r="M7" s="181" t="s">
        <v>231</v>
      </c>
      <c r="N7" s="181" t="s">
        <v>104</v>
      </c>
      <c r="O7" s="496"/>
      <c r="P7" s="522"/>
      <c r="Q7" s="522"/>
      <c r="R7" s="522"/>
      <c r="S7" s="522"/>
      <c r="T7" s="522"/>
      <c r="U7" s="522"/>
      <c r="V7" s="522"/>
      <c r="W7" s="522"/>
      <c r="X7" s="496"/>
    </row>
    <row r="8" spans="1:26">
      <c r="A8" s="265">
        <v>1</v>
      </c>
      <c r="B8" s="265">
        <v>2</v>
      </c>
      <c r="C8" s="265">
        <v>3</v>
      </c>
      <c r="D8" s="265">
        <v>4</v>
      </c>
      <c r="E8" s="265">
        <v>5</v>
      </c>
      <c r="F8" s="265">
        <v>6</v>
      </c>
      <c r="G8" s="265">
        <v>7</v>
      </c>
      <c r="H8" s="265">
        <v>8</v>
      </c>
      <c r="I8" s="265">
        <v>9</v>
      </c>
      <c r="J8" s="265">
        <v>10</v>
      </c>
      <c r="K8" s="265">
        <v>11</v>
      </c>
      <c r="L8" s="265">
        <v>12</v>
      </c>
      <c r="M8" s="265">
        <v>13</v>
      </c>
      <c r="N8" s="265">
        <v>14</v>
      </c>
      <c r="O8" s="265">
        <v>15</v>
      </c>
      <c r="P8" s="265">
        <v>16</v>
      </c>
      <c r="Q8" s="265">
        <v>17</v>
      </c>
      <c r="R8" s="265">
        <v>18</v>
      </c>
      <c r="S8" s="265">
        <v>19</v>
      </c>
      <c r="T8" s="265" t="s">
        <v>160</v>
      </c>
      <c r="U8" s="265" t="s">
        <v>161</v>
      </c>
      <c r="V8" s="265">
        <v>22</v>
      </c>
      <c r="W8" s="265">
        <v>23</v>
      </c>
      <c r="X8" s="265">
        <v>24</v>
      </c>
    </row>
    <row r="9" spans="1:26" s="81" customFormat="1" ht="30" customHeight="1">
      <c r="A9" s="10"/>
      <c r="B9" s="351"/>
      <c r="C9" s="351"/>
      <c r="D9" s="10" t="s">
        <v>232</v>
      </c>
      <c r="E9" s="352"/>
      <c r="F9" s="363">
        <f>F10+F11+F25</f>
        <v>2128000</v>
      </c>
      <c r="G9" s="363">
        <f>G10+G11+G25</f>
        <v>2128000</v>
      </c>
      <c r="H9" s="352"/>
      <c r="I9" s="367"/>
      <c r="J9" s="367"/>
      <c r="K9" s="367"/>
      <c r="L9" s="352"/>
      <c r="M9" s="363">
        <f>M10+M11+M25</f>
        <v>2128000</v>
      </c>
      <c r="N9" s="363">
        <f>N10+N11+N25</f>
        <v>2128000</v>
      </c>
      <c r="O9" s="352"/>
      <c r="P9" s="367"/>
      <c r="Q9" s="367"/>
      <c r="R9" s="367"/>
      <c r="S9" s="367"/>
      <c r="T9" s="367"/>
      <c r="U9" s="367"/>
      <c r="V9" s="363">
        <f>V10+V11+V25</f>
        <v>2128000</v>
      </c>
      <c r="W9" s="363">
        <f>W10+W11+W25</f>
        <v>2128000</v>
      </c>
      <c r="X9" s="10"/>
    </row>
    <row r="10" spans="1:26" s="81" customFormat="1" ht="67.5" customHeight="1">
      <c r="A10" s="36" t="s">
        <v>61</v>
      </c>
      <c r="B10" s="37"/>
      <c r="C10" s="37"/>
      <c r="D10" s="36" t="s">
        <v>162</v>
      </c>
      <c r="E10" s="270">
        <v>0</v>
      </c>
      <c r="F10" s="270">
        <v>0</v>
      </c>
      <c r="G10" s="270">
        <v>0</v>
      </c>
      <c r="H10" s="270">
        <v>0</v>
      </c>
      <c r="I10" s="270">
        <v>0</v>
      </c>
      <c r="J10" s="270">
        <v>0</v>
      </c>
      <c r="K10" s="270">
        <v>0</v>
      </c>
      <c r="L10" s="270">
        <v>0</v>
      </c>
      <c r="M10" s="270">
        <v>0</v>
      </c>
      <c r="N10" s="270">
        <v>0</v>
      </c>
      <c r="O10" s="270">
        <v>0</v>
      </c>
      <c r="P10" s="270">
        <v>0</v>
      </c>
      <c r="Q10" s="270">
        <v>0</v>
      </c>
      <c r="R10" s="270">
        <v>0</v>
      </c>
      <c r="S10" s="270">
        <v>0</v>
      </c>
      <c r="T10" s="270">
        <v>0</v>
      </c>
      <c r="U10" s="270">
        <v>0</v>
      </c>
      <c r="V10" s="270">
        <v>0</v>
      </c>
      <c r="W10" s="270">
        <v>0</v>
      </c>
      <c r="X10" s="36"/>
    </row>
    <row r="11" spans="1:26" s="81" customFormat="1" ht="52.5" customHeight="1">
      <c r="A11" s="36" t="s">
        <v>75</v>
      </c>
      <c r="B11" s="37"/>
      <c r="C11" s="37"/>
      <c r="D11" s="36" t="s">
        <v>163</v>
      </c>
      <c r="E11" s="271"/>
      <c r="F11" s="364">
        <f>SUM(F12:F24)</f>
        <v>2118000</v>
      </c>
      <c r="G11" s="364">
        <f>SUM(G12:G24)</f>
        <v>2118000</v>
      </c>
      <c r="H11" s="270"/>
      <c r="I11" s="368"/>
      <c r="J11" s="368"/>
      <c r="K11" s="368"/>
      <c r="L11" s="270"/>
      <c r="M11" s="364">
        <f>SUM(M12:M24)</f>
        <v>2118000</v>
      </c>
      <c r="N11" s="364">
        <f>SUM(N12:N24)</f>
        <v>2118000</v>
      </c>
      <c r="O11" s="270"/>
      <c r="P11" s="368"/>
      <c r="Q11" s="368"/>
      <c r="R11" s="368"/>
      <c r="S11" s="369"/>
      <c r="T11" s="369"/>
      <c r="U11" s="368"/>
      <c r="V11" s="364">
        <f>SUM(V12:V24)</f>
        <v>2118000</v>
      </c>
      <c r="W11" s="364">
        <f>SUM(W12:W24)</f>
        <v>2118000</v>
      </c>
      <c r="X11" s="36"/>
      <c r="Z11" s="174"/>
    </row>
    <row r="12" spans="1:26" ht="85.5" customHeight="1">
      <c r="A12" s="18">
        <v>1</v>
      </c>
      <c r="B12" s="193" t="s">
        <v>63</v>
      </c>
      <c r="C12" s="18" t="s">
        <v>164</v>
      </c>
      <c r="D12" s="49" t="s">
        <v>233</v>
      </c>
      <c r="E12" s="240"/>
      <c r="F12" s="137">
        <v>400000</v>
      </c>
      <c r="G12" s="137">
        <v>400000</v>
      </c>
      <c r="H12" s="18" t="s">
        <v>166</v>
      </c>
      <c r="I12" s="18" t="s">
        <v>234</v>
      </c>
      <c r="J12" s="18">
        <v>2026</v>
      </c>
      <c r="K12" s="18">
        <v>2029</v>
      </c>
      <c r="L12" s="240" t="s">
        <v>168</v>
      </c>
      <c r="M12" s="137">
        <f>N12</f>
        <v>400000</v>
      </c>
      <c r="N12" s="137">
        <f>G12</f>
        <v>400000</v>
      </c>
      <c r="O12" s="18">
        <v>2026</v>
      </c>
      <c r="P12" s="282"/>
      <c r="Q12" s="282"/>
      <c r="R12" s="282"/>
      <c r="S12" s="282"/>
      <c r="T12" s="282"/>
      <c r="U12" s="282"/>
      <c r="V12" s="282">
        <f>W12</f>
        <v>400000</v>
      </c>
      <c r="W12" s="282">
        <f>N12</f>
        <v>400000</v>
      </c>
      <c r="X12" s="18" t="s">
        <v>235</v>
      </c>
    </row>
    <row r="13" spans="1:26" ht="79.5" customHeight="1">
      <c r="A13" s="18">
        <v>2</v>
      </c>
      <c r="B13" s="18" t="s">
        <v>63</v>
      </c>
      <c r="C13" s="18" t="s">
        <v>164</v>
      </c>
      <c r="D13" s="49" t="s">
        <v>236</v>
      </c>
      <c r="E13" s="240"/>
      <c r="F13" s="135">
        <v>100000</v>
      </c>
      <c r="G13" s="135">
        <v>100000</v>
      </c>
      <c r="H13" s="18" t="s">
        <v>166</v>
      </c>
      <c r="I13" s="18" t="s">
        <v>237</v>
      </c>
      <c r="J13" s="18">
        <v>2026</v>
      </c>
      <c r="K13" s="18">
        <v>2029</v>
      </c>
      <c r="L13" s="240" t="s">
        <v>168</v>
      </c>
      <c r="M13" s="137">
        <f t="shared" ref="M13:M25" si="0">N13</f>
        <v>100000</v>
      </c>
      <c r="N13" s="137">
        <f t="shared" ref="N13:N25" si="1">G13</f>
        <v>100000</v>
      </c>
      <c r="O13" s="18">
        <v>2026</v>
      </c>
      <c r="P13" s="282"/>
      <c r="Q13" s="282"/>
      <c r="R13" s="282"/>
      <c r="S13" s="282"/>
      <c r="T13" s="282"/>
      <c r="U13" s="282"/>
      <c r="V13" s="282">
        <f t="shared" ref="V13:V25" si="2">W13</f>
        <v>100000</v>
      </c>
      <c r="W13" s="282">
        <f t="shared" ref="W13:W24" si="3">N13</f>
        <v>100000</v>
      </c>
      <c r="X13" s="18" t="s">
        <v>173</v>
      </c>
    </row>
    <row r="14" spans="1:26" ht="79.5" customHeight="1">
      <c r="A14" s="18">
        <v>3</v>
      </c>
      <c r="B14" s="18" t="s">
        <v>63</v>
      </c>
      <c r="C14" s="18" t="s">
        <v>164</v>
      </c>
      <c r="D14" s="49" t="s">
        <v>238</v>
      </c>
      <c r="E14" s="240"/>
      <c r="F14" s="137">
        <v>350000</v>
      </c>
      <c r="G14" s="137">
        <v>350000</v>
      </c>
      <c r="H14" s="18" t="s">
        <v>166</v>
      </c>
      <c r="I14" s="18" t="s">
        <v>239</v>
      </c>
      <c r="J14" s="18">
        <v>2026</v>
      </c>
      <c r="K14" s="18">
        <v>2029</v>
      </c>
      <c r="L14" s="240" t="s">
        <v>168</v>
      </c>
      <c r="M14" s="137">
        <f t="shared" si="0"/>
        <v>350000</v>
      </c>
      <c r="N14" s="137">
        <f t="shared" si="1"/>
        <v>350000</v>
      </c>
      <c r="O14" s="18">
        <v>2026</v>
      </c>
      <c r="P14" s="282"/>
      <c r="Q14" s="282"/>
      <c r="R14" s="282"/>
      <c r="S14" s="282"/>
      <c r="T14" s="282"/>
      <c r="U14" s="282"/>
      <c r="V14" s="282">
        <f t="shared" si="2"/>
        <v>350000</v>
      </c>
      <c r="W14" s="282">
        <f t="shared" si="3"/>
        <v>350000</v>
      </c>
      <c r="X14" s="18" t="s">
        <v>173</v>
      </c>
    </row>
    <row r="15" spans="1:26" ht="79.5" customHeight="1">
      <c r="A15" s="18">
        <v>4</v>
      </c>
      <c r="B15" s="18" t="s">
        <v>63</v>
      </c>
      <c r="C15" s="18" t="s">
        <v>164</v>
      </c>
      <c r="D15" s="49" t="s">
        <v>240</v>
      </c>
      <c r="E15" s="240"/>
      <c r="F15" s="135">
        <v>75000</v>
      </c>
      <c r="G15" s="135">
        <v>75000</v>
      </c>
      <c r="H15" s="18" t="s">
        <v>166</v>
      </c>
      <c r="I15" s="18" t="s">
        <v>241</v>
      </c>
      <c r="J15" s="18">
        <v>2026</v>
      </c>
      <c r="K15" s="18">
        <v>2028</v>
      </c>
      <c r="L15" s="240" t="s">
        <v>168</v>
      </c>
      <c r="M15" s="137">
        <f t="shared" si="0"/>
        <v>75000</v>
      </c>
      <c r="N15" s="137">
        <f t="shared" si="1"/>
        <v>75000</v>
      </c>
      <c r="O15" s="18">
        <v>2026</v>
      </c>
      <c r="P15" s="282"/>
      <c r="Q15" s="282"/>
      <c r="R15" s="282"/>
      <c r="S15" s="282"/>
      <c r="T15" s="282"/>
      <c r="U15" s="282"/>
      <c r="V15" s="282">
        <f t="shared" si="2"/>
        <v>75000</v>
      </c>
      <c r="W15" s="282">
        <f t="shared" si="3"/>
        <v>75000</v>
      </c>
      <c r="X15" s="18"/>
    </row>
    <row r="16" spans="1:26" ht="79.5" customHeight="1">
      <c r="A16" s="18">
        <v>5</v>
      </c>
      <c r="B16" s="18" t="s">
        <v>63</v>
      </c>
      <c r="C16" s="18" t="s">
        <v>164</v>
      </c>
      <c r="D16" s="49" t="s">
        <v>242</v>
      </c>
      <c r="E16" s="240"/>
      <c r="F16" s="135">
        <v>83000</v>
      </c>
      <c r="G16" s="135">
        <v>83000</v>
      </c>
      <c r="H16" s="18" t="s">
        <v>166</v>
      </c>
      <c r="I16" s="18" t="s">
        <v>243</v>
      </c>
      <c r="J16" s="18">
        <v>2026</v>
      </c>
      <c r="K16" s="18">
        <v>2028</v>
      </c>
      <c r="L16" s="240" t="s">
        <v>168</v>
      </c>
      <c r="M16" s="137">
        <f t="shared" ref="M16:M18" si="4">N16</f>
        <v>83000</v>
      </c>
      <c r="N16" s="137">
        <f t="shared" ref="N16:N18" si="5">G16</f>
        <v>83000</v>
      </c>
      <c r="O16" s="18">
        <v>2026</v>
      </c>
      <c r="P16" s="282"/>
      <c r="Q16" s="282"/>
      <c r="R16" s="282"/>
      <c r="S16" s="282"/>
      <c r="T16" s="282"/>
      <c r="U16" s="282"/>
      <c r="V16" s="282">
        <f t="shared" ref="V16:V18" si="6">W16</f>
        <v>83000</v>
      </c>
      <c r="W16" s="282">
        <f t="shared" ref="W16:W18" si="7">N16</f>
        <v>83000</v>
      </c>
      <c r="X16" s="18"/>
    </row>
    <row r="17" spans="1:24" ht="124">
      <c r="A17" s="18">
        <v>6</v>
      </c>
      <c r="B17" s="18" t="s">
        <v>63</v>
      </c>
      <c r="C17" s="18" t="s">
        <v>164</v>
      </c>
      <c r="D17" s="49" t="s">
        <v>244</v>
      </c>
      <c r="E17" s="240"/>
      <c r="F17" s="135">
        <v>200000</v>
      </c>
      <c r="G17" s="135">
        <v>200000</v>
      </c>
      <c r="H17" s="18" t="s">
        <v>166</v>
      </c>
      <c r="I17" s="18" t="s">
        <v>245</v>
      </c>
      <c r="J17" s="18">
        <v>2027</v>
      </c>
      <c r="K17" s="18">
        <v>2030</v>
      </c>
      <c r="L17" s="240" t="s">
        <v>180</v>
      </c>
      <c r="M17" s="137">
        <f t="shared" si="4"/>
        <v>200000</v>
      </c>
      <c r="N17" s="137">
        <f t="shared" si="5"/>
        <v>200000</v>
      </c>
      <c r="O17" s="18">
        <v>2027</v>
      </c>
      <c r="P17" s="282"/>
      <c r="Q17" s="282"/>
      <c r="R17" s="282"/>
      <c r="S17" s="282"/>
      <c r="T17" s="282"/>
      <c r="U17" s="282"/>
      <c r="V17" s="282">
        <f t="shared" si="6"/>
        <v>200000</v>
      </c>
      <c r="W17" s="282">
        <f t="shared" si="7"/>
        <v>200000</v>
      </c>
      <c r="X17" s="18" t="s">
        <v>246</v>
      </c>
    </row>
    <row r="18" spans="1:24" ht="62">
      <c r="A18" s="18">
        <v>7</v>
      </c>
      <c r="B18" s="193" t="s">
        <v>63</v>
      </c>
      <c r="C18" s="18" t="s">
        <v>164</v>
      </c>
      <c r="D18" s="49" t="s">
        <v>247</v>
      </c>
      <c r="E18" s="240"/>
      <c r="F18" s="137">
        <v>120000</v>
      </c>
      <c r="G18" s="137">
        <v>120000</v>
      </c>
      <c r="H18" s="18" t="s">
        <v>166</v>
      </c>
      <c r="I18" s="18" t="s">
        <v>248</v>
      </c>
      <c r="J18" s="18">
        <v>2027</v>
      </c>
      <c r="K18" s="18">
        <v>2030</v>
      </c>
      <c r="L18" s="240" t="s">
        <v>180</v>
      </c>
      <c r="M18" s="137">
        <f t="shared" si="4"/>
        <v>120000</v>
      </c>
      <c r="N18" s="137">
        <f t="shared" si="5"/>
        <v>120000</v>
      </c>
      <c r="O18" s="18">
        <v>2027</v>
      </c>
      <c r="P18" s="282"/>
      <c r="Q18" s="282"/>
      <c r="R18" s="282"/>
      <c r="S18" s="282"/>
      <c r="T18" s="282"/>
      <c r="U18" s="282"/>
      <c r="V18" s="282">
        <f t="shared" si="6"/>
        <v>120000</v>
      </c>
      <c r="W18" s="282">
        <f t="shared" si="7"/>
        <v>120000</v>
      </c>
      <c r="X18" s="18" t="s">
        <v>249</v>
      </c>
    </row>
    <row r="19" spans="1:24" ht="79.5" customHeight="1">
      <c r="A19" s="18">
        <v>8</v>
      </c>
      <c r="B19" s="18" t="s">
        <v>63</v>
      </c>
      <c r="C19" s="18" t="s">
        <v>164</v>
      </c>
      <c r="D19" s="49" t="s">
        <v>250</v>
      </c>
      <c r="E19" s="240"/>
      <c r="F19" s="135">
        <v>150000</v>
      </c>
      <c r="G19" s="135">
        <v>150000</v>
      </c>
      <c r="H19" s="18" t="s">
        <v>166</v>
      </c>
      <c r="I19" s="18" t="s">
        <v>251</v>
      </c>
      <c r="J19" s="18">
        <v>2028</v>
      </c>
      <c r="K19" s="18">
        <v>2030</v>
      </c>
      <c r="L19" s="240" t="s">
        <v>252</v>
      </c>
      <c r="M19" s="137">
        <f t="shared" si="0"/>
        <v>150000</v>
      </c>
      <c r="N19" s="137">
        <f t="shared" si="1"/>
        <v>150000</v>
      </c>
      <c r="O19" s="18">
        <v>2028</v>
      </c>
      <c r="P19" s="282"/>
      <c r="Q19" s="282"/>
      <c r="R19" s="282"/>
      <c r="S19" s="282"/>
      <c r="T19" s="282"/>
      <c r="U19" s="282"/>
      <c r="V19" s="282">
        <f t="shared" si="2"/>
        <v>150000</v>
      </c>
      <c r="W19" s="282">
        <f t="shared" si="3"/>
        <v>150000</v>
      </c>
      <c r="X19" s="18" t="s">
        <v>249</v>
      </c>
    </row>
    <row r="20" spans="1:24" ht="124">
      <c r="A20" s="18">
        <v>9</v>
      </c>
      <c r="B20" s="18" t="s">
        <v>63</v>
      </c>
      <c r="C20" s="18" t="s">
        <v>164</v>
      </c>
      <c r="D20" s="49" t="s">
        <v>253</v>
      </c>
      <c r="E20" s="240"/>
      <c r="F20" s="135">
        <v>220000</v>
      </c>
      <c r="G20" s="135">
        <v>220000</v>
      </c>
      <c r="H20" s="18" t="s">
        <v>166</v>
      </c>
      <c r="I20" s="18" t="s">
        <v>254</v>
      </c>
      <c r="J20" s="18">
        <v>2029</v>
      </c>
      <c r="K20" s="18">
        <v>2031</v>
      </c>
      <c r="L20" s="240" t="s">
        <v>255</v>
      </c>
      <c r="M20" s="137">
        <f t="shared" si="0"/>
        <v>220000</v>
      </c>
      <c r="N20" s="137">
        <f t="shared" si="1"/>
        <v>220000</v>
      </c>
      <c r="O20" s="18">
        <v>2029</v>
      </c>
      <c r="P20" s="282"/>
      <c r="Q20" s="282"/>
      <c r="R20" s="282"/>
      <c r="S20" s="282"/>
      <c r="T20" s="282"/>
      <c r="U20" s="282"/>
      <c r="V20" s="282">
        <f t="shared" si="2"/>
        <v>220000</v>
      </c>
      <c r="W20" s="282">
        <f t="shared" si="3"/>
        <v>220000</v>
      </c>
      <c r="X20" s="18" t="s">
        <v>256</v>
      </c>
    </row>
    <row r="21" spans="1:24" ht="79.5" customHeight="1">
      <c r="A21" s="18">
        <v>10</v>
      </c>
      <c r="B21" s="18" t="s">
        <v>63</v>
      </c>
      <c r="C21" s="18" t="s">
        <v>164</v>
      </c>
      <c r="D21" s="49" t="s">
        <v>257</v>
      </c>
      <c r="E21" s="240"/>
      <c r="F21" s="135">
        <v>100000</v>
      </c>
      <c r="G21" s="135">
        <v>100000</v>
      </c>
      <c r="H21" s="18" t="s">
        <v>166</v>
      </c>
      <c r="I21" s="18" t="s">
        <v>234</v>
      </c>
      <c r="J21" s="18">
        <v>2029</v>
      </c>
      <c r="K21" s="18">
        <v>2031</v>
      </c>
      <c r="L21" s="240" t="s">
        <v>255</v>
      </c>
      <c r="M21" s="137">
        <f t="shared" si="0"/>
        <v>100000</v>
      </c>
      <c r="N21" s="137">
        <f t="shared" si="1"/>
        <v>100000</v>
      </c>
      <c r="O21" s="18">
        <v>2029</v>
      </c>
      <c r="P21" s="282"/>
      <c r="Q21" s="282"/>
      <c r="R21" s="282"/>
      <c r="S21" s="282"/>
      <c r="T21" s="282"/>
      <c r="U21" s="282"/>
      <c r="V21" s="282">
        <f t="shared" si="2"/>
        <v>100000</v>
      </c>
      <c r="W21" s="282">
        <f t="shared" si="3"/>
        <v>100000</v>
      </c>
      <c r="X21" s="18" t="s">
        <v>258</v>
      </c>
    </row>
    <row r="22" spans="1:24" ht="79.5" customHeight="1">
      <c r="A22" s="18">
        <v>11</v>
      </c>
      <c r="B22" s="18" t="s">
        <v>259</v>
      </c>
      <c r="C22" s="18" t="s">
        <v>164</v>
      </c>
      <c r="D22" s="49" t="s">
        <v>260</v>
      </c>
      <c r="E22" s="240"/>
      <c r="F22" s="135">
        <v>90000</v>
      </c>
      <c r="G22" s="135">
        <v>90000</v>
      </c>
      <c r="H22" s="18" t="s">
        <v>261</v>
      </c>
      <c r="I22" s="18"/>
      <c r="J22" s="18">
        <v>2030</v>
      </c>
      <c r="K22" s="18"/>
      <c r="L22" s="240" t="s">
        <v>262</v>
      </c>
      <c r="M22" s="137">
        <f t="shared" si="0"/>
        <v>90000</v>
      </c>
      <c r="N22" s="137">
        <f t="shared" si="1"/>
        <v>90000</v>
      </c>
      <c r="O22" s="18">
        <v>2030</v>
      </c>
      <c r="P22" s="282"/>
      <c r="Q22" s="282"/>
      <c r="R22" s="282"/>
      <c r="S22" s="282"/>
      <c r="T22" s="282"/>
      <c r="U22" s="282"/>
      <c r="V22" s="282">
        <f t="shared" si="2"/>
        <v>90000</v>
      </c>
      <c r="W22" s="282">
        <f t="shared" si="3"/>
        <v>90000</v>
      </c>
      <c r="X22" s="18" t="s">
        <v>263</v>
      </c>
    </row>
    <row r="23" spans="1:24" ht="79.5" customHeight="1">
      <c r="A23" s="18">
        <v>12</v>
      </c>
      <c r="B23" s="18" t="s">
        <v>63</v>
      </c>
      <c r="C23" s="18" t="s">
        <v>164</v>
      </c>
      <c r="D23" s="49" t="s">
        <v>264</v>
      </c>
      <c r="E23" s="240"/>
      <c r="F23" s="135">
        <v>180000</v>
      </c>
      <c r="G23" s="135">
        <v>180000</v>
      </c>
      <c r="H23" s="18" t="s">
        <v>166</v>
      </c>
      <c r="I23" s="18" t="s">
        <v>265</v>
      </c>
      <c r="J23" s="18">
        <v>2030</v>
      </c>
      <c r="K23" s="18">
        <v>2032</v>
      </c>
      <c r="L23" s="240" t="s">
        <v>262</v>
      </c>
      <c r="M23" s="137">
        <f t="shared" si="0"/>
        <v>180000</v>
      </c>
      <c r="N23" s="137">
        <f t="shared" si="1"/>
        <v>180000</v>
      </c>
      <c r="O23" s="18">
        <v>2030</v>
      </c>
      <c r="P23" s="282"/>
      <c r="Q23" s="282"/>
      <c r="R23" s="282"/>
      <c r="S23" s="282"/>
      <c r="T23" s="282"/>
      <c r="U23" s="282"/>
      <c r="V23" s="282">
        <f t="shared" si="2"/>
        <v>180000</v>
      </c>
      <c r="W23" s="282">
        <f t="shared" si="3"/>
        <v>180000</v>
      </c>
      <c r="X23" s="18" t="s">
        <v>249</v>
      </c>
    </row>
    <row r="24" spans="1:24" ht="67.5" customHeight="1">
      <c r="A24" s="18">
        <v>13</v>
      </c>
      <c r="B24" s="193" t="s">
        <v>266</v>
      </c>
      <c r="C24" s="18" t="s">
        <v>164</v>
      </c>
      <c r="D24" s="49" t="s">
        <v>267</v>
      </c>
      <c r="E24" s="240"/>
      <c r="F24" s="137">
        <v>50000</v>
      </c>
      <c r="G24" s="137">
        <v>50000</v>
      </c>
      <c r="H24" s="18"/>
      <c r="I24" s="18"/>
      <c r="J24" s="18">
        <v>2030</v>
      </c>
      <c r="K24" s="18">
        <v>2031</v>
      </c>
      <c r="L24" s="240" t="s">
        <v>262</v>
      </c>
      <c r="M24" s="137">
        <f t="shared" si="0"/>
        <v>50000</v>
      </c>
      <c r="N24" s="137">
        <f t="shared" si="1"/>
        <v>50000</v>
      </c>
      <c r="O24" s="282">
        <v>2030</v>
      </c>
      <c r="P24" s="282"/>
      <c r="Q24" s="282"/>
      <c r="R24" s="282"/>
      <c r="S24" s="282"/>
      <c r="T24" s="282"/>
      <c r="U24" s="282"/>
      <c r="V24" s="282">
        <f t="shared" si="2"/>
        <v>50000</v>
      </c>
      <c r="W24" s="282">
        <f t="shared" si="3"/>
        <v>50000</v>
      </c>
      <c r="X24" s="18"/>
    </row>
    <row r="25" spans="1:24" s="81" customFormat="1" ht="81" customHeight="1">
      <c r="A25" s="36" t="s">
        <v>84</v>
      </c>
      <c r="B25" s="37"/>
      <c r="C25" s="37"/>
      <c r="D25" s="365" t="s">
        <v>181</v>
      </c>
      <c r="E25" s="271"/>
      <c r="F25" s="272">
        <v>10000</v>
      </c>
      <c r="G25" s="272">
        <v>10000</v>
      </c>
      <c r="H25" s="272"/>
      <c r="I25" s="272"/>
      <c r="J25" s="272"/>
      <c r="K25" s="272"/>
      <c r="L25" s="272"/>
      <c r="M25" s="272">
        <f t="shared" si="0"/>
        <v>10000</v>
      </c>
      <c r="N25" s="272">
        <f t="shared" si="1"/>
        <v>10000</v>
      </c>
      <c r="O25" s="272"/>
      <c r="P25" s="272"/>
      <c r="Q25" s="272"/>
      <c r="R25" s="272"/>
      <c r="S25" s="272"/>
      <c r="T25" s="272"/>
      <c r="U25" s="272"/>
      <c r="V25" s="272">
        <f t="shared" si="2"/>
        <v>10000</v>
      </c>
      <c r="W25" s="272">
        <f>G25</f>
        <v>10000</v>
      </c>
      <c r="X25" s="36"/>
    </row>
    <row r="27" spans="1:24">
      <c r="F27" s="366"/>
    </row>
    <row r="29" spans="1:24">
      <c r="F29" s="264"/>
    </row>
  </sheetData>
  <mergeCells count="31">
    <mergeCell ref="X4:X7"/>
    <mergeCell ref="S5:S7"/>
    <mergeCell ref="T5:T7"/>
    <mergeCell ref="U5:U7"/>
    <mergeCell ref="V5:V7"/>
    <mergeCell ref="W5:W7"/>
    <mergeCell ref="E5:G5"/>
    <mergeCell ref="H5:N5"/>
    <mergeCell ref="F6:G6"/>
    <mergeCell ref="J6:K6"/>
    <mergeCell ref="M6:N6"/>
    <mergeCell ref="E6:E7"/>
    <mergeCell ref="H6:H7"/>
    <mergeCell ref="I6:I7"/>
    <mergeCell ref="L6:L7"/>
    <mergeCell ref="A1:X1"/>
    <mergeCell ref="A2:X2"/>
    <mergeCell ref="A3:X3"/>
    <mergeCell ref="E4:N4"/>
    <mergeCell ref="P4:Q4"/>
    <mergeCell ref="R4:S4"/>
    <mergeCell ref="T4:U4"/>
    <mergeCell ref="V4:W4"/>
    <mergeCell ref="A4:A7"/>
    <mergeCell ref="B4:B7"/>
    <mergeCell ref="C4:C7"/>
    <mergeCell ref="D4:D7"/>
    <mergeCell ref="O4:O7"/>
    <mergeCell ref="P5:P7"/>
    <mergeCell ref="Q5:Q7"/>
    <mergeCell ref="R5:R7"/>
  </mergeCells>
  <pageMargins left="0.24" right="0.2" top="0.41" bottom="0.43" header="0.19" footer="0.3"/>
  <pageSetup paperSize="9" scale="50" fitToHeight="0" orientation="landscape"/>
  <headerFooter differentFirst="1">
    <oddHeader>&amp;C&amp;P/&amp;N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19"/>
  <sheetViews>
    <sheetView topLeftCell="B1" zoomScale="70" zoomScaleNormal="70" workbookViewId="0">
      <selection activeCell="I16" sqref="I16"/>
    </sheetView>
  </sheetViews>
  <sheetFormatPr defaultColWidth="9.1796875" defaultRowHeight="15.5"/>
  <cols>
    <col min="1" max="1" width="6.7265625" style="294" customWidth="1"/>
    <col min="2" max="2" width="11.81640625" style="295" customWidth="1"/>
    <col min="3" max="3" width="10.7265625" style="295" customWidth="1"/>
    <col min="4" max="4" width="26.7265625" style="295" customWidth="1"/>
    <col min="5" max="5" width="12.54296875" style="295" customWidth="1"/>
    <col min="6" max="8" width="10.7265625" style="295" customWidth="1"/>
    <col min="9" max="9" width="13.7265625" style="294" customWidth="1"/>
    <col min="10" max="11" width="10.7265625" style="294" customWidth="1"/>
    <col min="12" max="12" width="12.1796875" style="295" customWidth="1"/>
    <col min="13" max="15" width="10.7265625" style="295" customWidth="1"/>
    <col min="16" max="24" width="15" style="294" customWidth="1"/>
    <col min="25" max="16384" width="9.1796875" style="295"/>
  </cols>
  <sheetData>
    <row r="1" spans="1:24" ht="41.25" customHeight="1">
      <c r="A1" s="489" t="s">
        <v>268</v>
      </c>
      <c r="B1" s="490"/>
      <c r="C1" s="490"/>
      <c r="D1" s="490"/>
      <c r="E1" s="490"/>
      <c r="F1" s="490"/>
      <c r="G1" s="490"/>
      <c r="H1" s="490"/>
      <c r="I1" s="490"/>
      <c r="J1" s="490"/>
      <c r="K1" s="490"/>
      <c r="L1" s="490"/>
      <c r="M1" s="490"/>
      <c r="N1" s="490"/>
      <c r="O1" s="490"/>
      <c r="P1" s="490"/>
      <c r="Q1" s="550"/>
      <c r="R1" s="550"/>
      <c r="S1" s="550"/>
      <c r="T1" s="550"/>
      <c r="U1" s="550"/>
      <c r="V1" s="550"/>
      <c r="W1" s="550"/>
      <c r="X1" s="550"/>
    </row>
    <row r="2" spans="1:24" ht="41.25" customHeight="1">
      <c r="A2" s="489" t="s">
        <v>269</v>
      </c>
      <c r="B2" s="490"/>
      <c r="C2" s="490"/>
      <c r="D2" s="490"/>
      <c r="E2" s="490"/>
      <c r="F2" s="490"/>
      <c r="G2" s="490"/>
      <c r="H2" s="490"/>
      <c r="I2" s="490"/>
      <c r="J2" s="490"/>
      <c r="K2" s="490"/>
      <c r="L2" s="490"/>
      <c r="M2" s="490"/>
      <c r="N2" s="490"/>
      <c r="O2" s="490"/>
      <c r="P2" s="490"/>
      <c r="Q2" s="550"/>
      <c r="R2" s="550"/>
      <c r="S2" s="550"/>
      <c r="T2" s="550"/>
      <c r="U2" s="550"/>
      <c r="V2" s="550"/>
      <c r="W2" s="550"/>
      <c r="X2" s="550"/>
    </row>
    <row r="3" spans="1:24" ht="33" customHeight="1">
      <c r="A3" s="491" t="s">
        <v>2</v>
      </c>
      <c r="B3" s="492"/>
      <c r="C3" s="492"/>
      <c r="D3" s="492"/>
      <c r="E3" s="492"/>
      <c r="F3" s="492"/>
      <c r="G3" s="492"/>
      <c r="H3" s="492"/>
      <c r="I3" s="492"/>
      <c r="J3" s="492"/>
      <c r="K3" s="492"/>
      <c r="L3" s="492"/>
      <c r="M3" s="492"/>
      <c r="N3" s="492"/>
      <c r="O3" s="492"/>
      <c r="P3" s="492"/>
      <c r="Q3" s="551"/>
      <c r="R3" s="551"/>
      <c r="S3" s="551"/>
      <c r="T3" s="551"/>
      <c r="U3" s="551"/>
      <c r="V3" s="551"/>
      <c r="W3" s="551"/>
      <c r="X3" s="551"/>
    </row>
    <row r="4" spans="1:24" s="292" customFormat="1" ht="68.25" customHeight="1">
      <c r="A4" s="493" t="s">
        <v>3</v>
      </c>
      <c r="B4" s="511" t="s">
        <v>4</v>
      </c>
      <c r="C4" s="511" t="s">
        <v>5</v>
      </c>
      <c r="D4" s="496" t="s">
        <v>7</v>
      </c>
      <c r="E4" s="493" t="s">
        <v>153</v>
      </c>
      <c r="F4" s="493"/>
      <c r="G4" s="493"/>
      <c r="H4" s="493"/>
      <c r="I4" s="493"/>
      <c r="J4" s="493"/>
      <c r="K4" s="493"/>
      <c r="L4" s="493"/>
      <c r="M4" s="493"/>
      <c r="N4" s="493"/>
      <c r="O4" s="496" t="s">
        <v>9</v>
      </c>
      <c r="P4" s="518" t="s">
        <v>270</v>
      </c>
      <c r="Q4" s="552"/>
      <c r="R4" s="518" t="s">
        <v>155</v>
      </c>
      <c r="S4" s="552"/>
      <c r="T4" s="518" t="s">
        <v>156</v>
      </c>
      <c r="U4" s="552"/>
      <c r="V4" s="518" t="s">
        <v>157</v>
      </c>
      <c r="W4" s="552"/>
      <c r="X4" s="496" t="s">
        <v>14</v>
      </c>
    </row>
    <row r="5" spans="1:24" s="292" customFormat="1" ht="39.75" customHeight="1">
      <c r="A5" s="493"/>
      <c r="B5" s="511"/>
      <c r="C5" s="511"/>
      <c r="D5" s="496"/>
      <c r="E5" s="493" t="s">
        <v>15</v>
      </c>
      <c r="F5" s="493"/>
      <c r="G5" s="493"/>
      <c r="H5" s="493" t="s">
        <v>16</v>
      </c>
      <c r="I5" s="493"/>
      <c r="J5" s="493"/>
      <c r="K5" s="493"/>
      <c r="L5" s="493"/>
      <c r="M5" s="493"/>
      <c r="N5" s="493"/>
      <c r="O5" s="496"/>
      <c r="P5" s="520" t="s">
        <v>143</v>
      </c>
      <c r="Q5" s="520" t="s">
        <v>144</v>
      </c>
      <c r="R5" s="520" t="s">
        <v>143</v>
      </c>
      <c r="S5" s="520" t="s">
        <v>144</v>
      </c>
      <c r="T5" s="520" t="s">
        <v>143</v>
      </c>
      <c r="U5" s="520" t="s">
        <v>144</v>
      </c>
      <c r="V5" s="520" t="s">
        <v>143</v>
      </c>
      <c r="W5" s="520" t="s">
        <v>144</v>
      </c>
      <c r="X5" s="496"/>
    </row>
    <row r="6" spans="1:24" s="292" customFormat="1">
      <c r="A6" s="493"/>
      <c r="B6" s="511"/>
      <c r="C6" s="511"/>
      <c r="D6" s="496"/>
      <c r="E6" s="496" t="s">
        <v>22</v>
      </c>
      <c r="F6" s="503" t="s">
        <v>23</v>
      </c>
      <c r="G6" s="503"/>
      <c r="H6" s="496" t="s">
        <v>24</v>
      </c>
      <c r="I6" s="496" t="s">
        <v>25</v>
      </c>
      <c r="J6" s="496" t="s">
        <v>26</v>
      </c>
      <c r="K6" s="496"/>
      <c r="L6" s="496" t="s">
        <v>22</v>
      </c>
      <c r="M6" s="503" t="s">
        <v>23</v>
      </c>
      <c r="N6" s="503"/>
      <c r="O6" s="496"/>
      <c r="P6" s="553"/>
      <c r="Q6" s="553"/>
      <c r="R6" s="553"/>
      <c r="S6" s="553"/>
      <c r="T6" s="553"/>
      <c r="U6" s="553"/>
      <c r="V6" s="553"/>
      <c r="W6" s="553"/>
      <c r="X6" s="496"/>
    </row>
    <row r="7" spans="1:24" s="292" customFormat="1" ht="153" customHeight="1">
      <c r="A7" s="493"/>
      <c r="B7" s="511"/>
      <c r="C7" s="511"/>
      <c r="D7" s="496"/>
      <c r="E7" s="496"/>
      <c r="F7" s="181" t="s">
        <v>143</v>
      </c>
      <c r="G7" s="181" t="s">
        <v>144</v>
      </c>
      <c r="H7" s="496"/>
      <c r="I7" s="496"/>
      <c r="J7" s="180" t="s">
        <v>40</v>
      </c>
      <c r="K7" s="180" t="s">
        <v>41</v>
      </c>
      <c r="L7" s="496"/>
      <c r="M7" s="181" t="s">
        <v>143</v>
      </c>
      <c r="N7" s="181" t="s">
        <v>144</v>
      </c>
      <c r="O7" s="496"/>
      <c r="P7" s="554"/>
      <c r="Q7" s="554"/>
      <c r="R7" s="554"/>
      <c r="S7" s="554"/>
      <c r="T7" s="554"/>
      <c r="U7" s="554"/>
      <c r="V7" s="554"/>
      <c r="W7" s="554"/>
      <c r="X7" s="496"/>
    </row>
    <row r="8" spans="1:24">
      <c r="A8" s="296">
        <v>1</v>
      </c>
      <c r="B8" s="296">
        <v>2</v>
      </c>
      <c r="C8" s="296">
        <v>3</v>
      </c>
      <c r="D8" s="296">
        <v>4</v>
      </c>
      <c r="E8" s="296">
        <v>5</v>
      </c>
      <c r="F8" s="296">
        <v>6</v>
      </c>
      <c r="G8" s="296">
        <v>7</v>
      </c>
      <c r="H8" s="296">
        <v>8</v>
      </c>
      <c r="I8" s="296">
        <v>9</v>
      </c>
      <c r="J8" s="296">
        <v>10</v>
      </c>
      <c r="K8" s="296">
        <v>11</v>
      </c>
      <c r="L8" s="296">
        <v>12</v>
      </c>
      <c r="M8" s="296">
        <v>13</v>
      </c>
      <c r="N8" s="296">
        <v>14</v>
      </c>
      <c r="O8" s="296">
        <v>15</v>
      </c>
      <c r="P8" s="296">
        <v>16</v>
      </c>
      <c r="Q8" s="296">
        <v>17</v>
      </c>
      <c r="R8" s="296">
        <v>18</v>
      </c>
      <c r="S8" s="296">
        <v>19</v>
      </c>
      <c r="T8" s="296" t="s">
        <v>160</v>
      </c>
      <c r="U8" s="296" t="s">
        <v>161</v>
      </c>
      <c r="V8" s="296">
        <v>22</v>
      </c>
      <c r="W8" s="296">
        <v>23</v>
      </c>
      <c r="X8" s="296">
        <v>24</v>
      </c>
    </row>
    <row r="9" spans="1:24" s="293" customFormat="1" ht="15">
      <c r="A9" s="297"/>
      <c r="B9" s="298"/>
      <c r="C9" s="298"/>
      <c r="D9" s="297" t="s">
        <v>60</v>
      </c>
      <c r="E9" s="299"/>
      <c r="F9" s="298"/>
      <c r="G9" s="298"/>
      <c r="H9" s="298"/>
      <c r="I9" s="297"/>
      <c r="J9" s="297"/>
      <c r="K9" s="297"/>
      <c r="L9" s="298"/>
      <c r="M9" s="298"/>
      <c r="N9" s="298"/>
      <c r="O9" s="298"/>
      <c r="P9" s="297"/>
      <c r="Q9" s="297"/>
      <c r="R9" s="297"/>
      <c r="S9" s="297"/>
      <c r="T9" s="297"/>
      <c r="U9" s="297"/>
      <c r="V9" s="297"/>
      <c r="W9" s="297"/>
      <c r="X9" s="297"/>
    </row>
    <row r="10" spans="1:24" s="293" customFormat="1" ht="84" customHeight="1">
      <c r="A10" s="297" t="s">
        <v>61</v>
      </c>
      <c r="B10" s="298"/>
      <c r="C10" s="298"/>
      <c r="D10" s="300" t="s">
        <v>162</v>
      </c>
      <c r="E10" s="299"/>
      <c r="F10" s="298"/>
      <c r="G10" s="298"/>
      <c r="H10" s="298"/>
      <c r="I10" s="297"/>
      <c r="J10" s="297"/>
      <c r="K10" s="297"/>
      <c r="L10" s="298"/>
      <c r="M10" s="298"/>
      <c r="N10" s="298"/>
      <c r="O10" s="298"/>
      <c r="P10" s="297"/>
      <c r="Q10" s="297"/>
      <c r="R10" s="297"/>
      <c r="S10" s="297"/>
      <c r="T10" s="297"/>
      <c r="U10" s="297"/>
      <c r="V10" s="297"/>
      <c r="W10" s="297"/>
      <c r="X10" s="297"/>
    </row>
    <row r="11" spans="1:24" ht="20.149999999999999" customHeight="1">
      <c r="A11" s="301"/>
      <c r="B11" s="302"/>
      <c r="C11" s="302"/>
      <c r="D11" s="303" t="s">
        <v>145</v>
      </c>
      <c r="E11" s="304"/>
      <c r="F11" s="305"/>
      <c r="G11" s="305"/>
      <c r="H11" s="301"/>
      <c r="I11" s="301"/>
      <c r="J11" s="301"/>
      <c r="K11" s="301"/>
      <c r="L11" s="304"/>
      <c r="M11" s="305"/>
      <c r="N11" s="305"/>
      <c r="O11" s="305"/>
      <c r="P11" s="306"/>
      <c r="Q11" s="306"/>
      <c r="R11" s="306"/>
      <c r="S11" s="306"/>
      <c r="T11" s="306"/>
      <c r="U11" s="306"/>
      <c r="V11" s="306"/>
      <c r="W11" s="306"/>
      <c r="X11" s="301"/>
    </row>
    <row r="12" spans="1:24" ht="20.149999999999999" customHeight="1">
      <c r="A12" s="301"/>
      <c r="B12" s="302"/>
      <c r="C12" s="302"/>
      <c r="D12" s="302" t="s">
        <v>125</v>
      </c>
      <c r="E12" s="304"/>
      <c r="F12" s="305"/>
      <c r="G12" s="305"/>
      <c r="H12" s="301"/>
      <c r="I12" s="301"/>
      <c r="J12" s="301"/>
      <c r="K12" s="301"/>
      <c r="L12" s="304"/>
      <c r="M12" s="305"/>
      <c r="N12" s="305"/>
      <c r="O12" s="305"/>
      <c r="P12" s="306"/>
      <c r="Q12" s="306"/>
      <c r="R12" s="306"/>
      <c r="S12" s="306"/>
      <c r="T12" s="306"/>
      <c r="U12" s="306"/>
      <c r="V12" s="306"/>
      <c r="W12" s="306"/>
      <c r="X12" s="301"/>
    </row>
    <row r="13" spans="1:24" ht="67.5" customHeight="1">
      <c r="A13" s="297" t="s">
        <v>75</v>
      </c>
      <c r="B13" s="302"/>
      <c r="C13" s="302"/>
      <c r="D13" s="300" t="s">
        <v>163</v>
      </c>
      <c r="E13" s="304"/>
      <c r="F13" s="302"/>
      <c r="G13" s="302"/>
      <c r="H13" s="302"/>
      <c r="I13" s="301"/>
      <c r="J13" s="301"/>
      <c r="K13" s="301"/>
      <c r="L13" s="304"/>
      <c r="M13" s="302"/>
      <c r="N13" s="302"/>
      <c r="O13" s="302"/>
      <c r="P13" s="301"/>
      <c r="Q13" s="301"/>
      <c r="R13" s="301"/>
      <c r="S13" s="306"/>
      <c r="T13" s="306"/>
      <c r="U13" s="301"/>
      <c r="V13" s="306"/>
      <c r="W13" s="301"/>
      <c r="X13" s="301"/>
    </row>
    <row r="14" spans="1:24" ht="20.149999999999999" customHeight="1">
      <c r="A14" s="301"/>
      <c r="B14" s="302"/>
      <c r="C14" s="302"/>
      <c r="D14" s="303" t="s">
        <v>145</v>
      </c>
      <c r="E14" s="304"/>
      <c r="F14" s="305"/>
      <c r="G14" s="305"/>
      <c r="H14" s="301"/>
      <c r="I14" s="301"/>
      <c r="J14" s="301"/>
      <c r="K14" s="301"/>
      <c r="L14" s="304"/>
      <c r="M14" s="305"/>
      <c r="N14" s="305"/>
      <c r="O14" s="305"/>
      <c r="P14" s="306"/>
      <c r="Q14" s="306"/>
      <c r="R14" s="306"/>
      <c r="S14" s="306"/>
      <c r="T14" s="306"/>
      <c r="U14" s="306"/>
      <c r="V14" s="306"/>
      <c r="W14" s="306"/>
      <c r="X14" s="301"/>
    </row>
    <row r="15" spans="1:24" ht="20.149999999999999" customHeight="1">
      <c r="A15" s="301"/>
      <c r="B15" s="302"/>
      <c r="C15" s="302"/>
      <c r="D15" s="302" t="s">
        <v>125</v>
      </c>
      <c r="E15" s="304"/>
      <c r="F15" s="305"/>
      <c r="G15" s="305"/>
      <c r="H15" s="301"/>
      <c r="I15" s="301"/>
      <c r="J15" s="301"/>
      <c r="K15" s="301"/>
      <c r="L15" s="304"/>
      <c r="M15" s="305"/>
      <c r="N15" s="305"/>
      <c r="O15" s="305"/>
      <c r="P15" s="306"/>
      <c r="Q15" s="306"/>
      <c r="R15" s="306"/>
      <c r="S15" s="306"/>
      <c r="T15" s="306"/>
      <c r="U15" s="306"/>
      <c r="V15" s="306"/>
      <c r="W15" s="306"/>
      <c r="X15" s="301"/>
    </row>
    <row r="16" spans="1:24" ht="92.25" customHeight="1">
      <c r="A16" s="297" t="s">
        <v>84</v>
      </c>
      <c r="B16" s="302"/>
      <c r="C16" s="302"/>
      <c r="D16" s="300" t="s">
        <v>271</v>
      </c>
      <c r="E16" s="304"/>
      <c r="F16" s="302"/>
      <c r="G16" s="302"/>
      <c r="H16" s="302"/>
      <c r="I16" s="301"/>
      <c r="J16" s="301"/>
      <c r="K16" s="301"/>
      <c r="L16" s="304"/>
      <c r="M16" s="302"/>
      <c r="N16" s="302"/>
      <c r="O16" s="302"/>
      <c r="P16" s="301"/>
      <c r="Q16" s="301"/>
      <c r="R16" s="301"/>
      <c r="S16" s="306"/>
      <c r="T16" s="306"/>
      <c r="U16" s="301"/>
      <c r="V16" s="306"/>
      <c r="W16" s="301"/>
      <c r="X16" s="301"/>
    </row>
    <row r="17" spans="1:24">
      <c r="A17" s="301"/>
      <c r="B17" s="302"/>
      <c r="C17" s="302"/>
      <c r="D17" s="303" t="s">
        <v>145</v>
      </c>
      <c r="E17" s="304"/>
      <c r="F17" s="302"/>
      <c r="G17" s="302"/>
      <c r="H17" s="302"/>
      <c r="I17" s="301"/>
      <c r="J17" s="301"/>
      <c r="K17" s="301"/>
      <c r="L17" s="304"/>
      <c r="M17" s="302"/>
      <c r="N17" s="302"/>
      <c r="O17" s="302"/>
      <c r="P17" s="301"/>
      <c r="Q17" s="301"/>
      <c r="R17" s="301"/>
      <c r="S17" s="301"/>
      <c r="T17" s="301"/>
      <c r="U17" s="301"/>
      <c r="V17" s="301"/>
      <c r="W17" s="301"/>
      <c r="X17" s="301"/>
    </row>
    <row r="18" spans="1:24">
      <c r="A18" s="301"/>
      <c r="B18" s="302"/>
      <c r="C18" s="302"/>
      <c r="D18" s="302" t="s">
        <v>125</v>
      </c>
      <c r="E18" s="304"/>
      <c r="F18" s="302"/>
      <c r="G18" s="302"/>
      <c r="H18" s="302"/>
      <c r="I18" s="301"/>
      <c r="J18" s="301"/>
      <c r="K18" s="301"/>
      <c r="L18" s="304"/>
      <c r="M18" s="302"/>
      <c r="N18" s="302"/>
      <c r="O18" s="302"/>
      <c r="P18" s="301"/>
      <c r="Q18" s="301"/>
      <c r="R18" s="301"/>
      <c r="S18" s="301"/>
      <c r="T18" s="301"/>
      <c r="U18" s="301"/>
      <c r="V18" s="301"/>
      <c r="W18" s="301"/>
      <c r="X18" s="301"/>
    </row>
    <row r="19" spans="1:24">
      <c r="A19" s="301"/>
      <c r="B19" s="302"/>
      <c r="C19" s="302"/>
      <c r="D19" s="302"/>
      <c r="E19" s="304"/>
      <c r="F19" s="302"/>
      <c r="G19" s="302"/>
      <c r="H19" s="302"/>
      <c r="I19" s="301"/>
      <c r="J19" s="301"/>
      <c r="K19" s="301"/>
      <c r="L19" s="304"/>
      <c r="M19" s="302"/>
      <c r="N19" s="302"/>
      <c r="O19" s="302"/>
      <c r="P19" s="301"/>
      <c r="Q19" s="301"/>
      <c r="R19" s="301"/>
      <c r="S19" s="301"/>
      <c r="T19" s="301"/>
      <c r="U19" s="301"/>
      <c r="V19" s="301"/>
      <c r="W19" s="301"/>
      <c r="X19" s="301"/>
    </row>
  </sheetData>
  <mergeCells count="31">
    <mergeCell ref="X4:X7"/>
    <mergeCell ref="S5:S7"/>
    <mergeCell ref="T5:T7"/>
    <mergeCell ref="U5:U7"/>
    <mergeCell ref="V5:V7"/>
    <mergeCell ref="W5:W7"/>
    <mergeCell ref="E5:G5"/>
    <mergeCell ref="H5:N5"/>
    <mergeCell ref="F6:G6"/>
    <mergeCell ref="J6:K6"/>
    <mergeCell ref="M6:N6"/>
    <mergeCell ref="E6:E7"/>
    <mergeCell ref="H6:H7"/>
    <mergeCell ref="I6:I7"/>
    <mergeCell ref="L6:L7"/>
    <mergeCell ref="A1:X1"/>
    <mergeCell ref="A2:X2"/>
    <mergeCell ref="A3:X3"/>
    <mergeCell ref="E4:N4"/>
    <mergeCell ref="P4:Q4"/>
    <mergeCell ref="R4:S4"/>
    <mergeCell ref="T4:U4"/>
    <mergeCell ref="V4:W4"/>
    <mergeCell ref="A4:A7"/>
    <mergeCell ref="B4:B7"/>
    <mergeCell ref="C4:C7"/>
    <mergeCell ref="D4:D7"/>
    <mergeCell ref="O4:O7"/>
    <mergeCell ref="P5:P7"/>
    <mergeCell ref="Q5:Q7"/>
    <mergeCell ref="R5:R7"/>
  </mergeCells>
  <pageMargins left="0.34" right="0.28000000000000003" top="0.49" bottom="0.39" header="0.3" footer="0.3"/>
  <pageSetup paperSize="8" scale="64" fitToHeight="0" orientation="landscape"/>
  <headerFooter differentFirst="1">
    <oddHeader>&amp;C&amp;P/&amp;N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AR67"/>
  <sheetViews>
    <sheetView view="pageBreakPreview" topLeftCell="I34" zoomScale="55" zoomScaleNormal="82" workbookViewId="0">
      <selection activeCell="T38" sqref="T38"/>
    </sheetView>
  </sheetViews>
  <sheetFormatPr defaultColWidth="9.1796875" defaultRowHeight="15.5"/>
  <cols>
    <col min="1" max="1" width="6.7265625" style="350" customWidth="1"/>
    <col min="2" max="2" width="11.54296875" style="4" customWidth="1"/>
    <col min="3" max="3" width="10.7265625" style="4" customWidth="1"/>
    <col min="4" max="4" width="10.26953125" style="350" customWidth="1"/>
    <col min="5" max="5" width="26.7265625" style="4" customWidth="1"/>
    <col min="6" max="6" width="11.54296875" style="4" hidden="1" customWidth="1"/>
    <col min="7" max="7" width="10.7265625" style="4" hidden="1" customWidth="1"/>
    <col min="8" max="8" width="10.1796875" style="4" hidden="1" customWidth="1"/>
    <col min="9" max="9" width="10.7265625" style="4" customWidth="1"/>
    <col min="10" max="10" width="13.453125" style="350" customWidth="1"/>
    <col min="11" max="12" width="10.7265625" style="350" customWidth="1"/>
    <col min="13" max="13" width="12.1796875" style="4" customWidth="1"/>
    <col min="14" max="15" width="10.7265625" style="4" customWidth="1"/>
    <col min="16" max="16" width="10.7265625" style="350" customWidth="1"/>
    <col min="17" max="18" width="10.7265625" style="4" customWidth="1"/>
    <col min="19" max="22" width="13.7265625" style="4" customWidth="1"/>
    <col min="23" max="24" width="10.7265625" style="4" customWidth="1"/>
    <col min="25" max="27" width="11.7265625" style="4" customWidth="1"/>
    <col min="28" max="43" width="10.7265625" style="4" customWidth="1"/>
    <col min="44" max="16384" width="9.1796875" style="4"/>
  </cols>
  <sheetData>
    <row r="1" spans="1:44" ht="23.5">
      <c r="A1" s="555" t="s">
        <v>151</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6"/>
      <c r="AQ1" s="556"/>
    </row>
    <row r="2" spans="1:44" ht="23.5">
      <c r="A2" s="555" t="s">
        <v>272</v>
      </c>
      <c r="B2" s="556"/>
      <c r="C2" s="556"/>
      <c r="D2" s="556"/>
      <c r="E2" s="556"/>
      <c r="F2" s="556"/>
      <c r="G2" s="556"/>
      <c r="H2" s="556"/>
      <c r="I2" s="556"/>
      <c r="J2" s="556"/>
      <c r="K2" s="556"/>
      <c r="L2" s="556"/>
      <c r="M2" s="556"/>
      <c r="N2" s="556"/>
      <c r="O2" s="556"/>
      <c r="P2" s="556"/>
      <c r="Q2" s="556"/>
      <c r="R2" s="556"/>
      <c r="S2" s="556"/>
      <c r="T2" s="556"/>
      <c r="U2" s="556"/>
      <c r="V2" s="556"/>
      <c r="W2" s="556"/>
      <c r="X2" s="556"/>
      <c r="Y2" s="556"/>
      <c r="Z2" s="556"/>
      <c r="AA2" s="556"/>
      <c r="AB2" s="556"/>
      <c r="AC2" s="556"/>
      <c r="AD2" s="556"/>
      <c r="AE2" s="556"/>
      <c r="AF2" s="556"/>
      <c r="AG2" s="556"/>
      <c r="AH2" s="556"/>
      <c r="AI2" s="556"/>
      <c r="AJ2" s="556"/>
      <c r="AK2" s="556"/>
      <c r="AL2" s="556"/>
      <c r="AM2" s="556"/>
      <c r="AN2" s="556"/>
      <c r="AO2" s="556"/>
      <c r="AP2" s="556"/>
      <c r="AQ2" s="556"/>
    </row>
    <row r="3" spans="1:44">
      <c r="A3" s="557" t="s">
        <v>2</v>
      </c>
      <c r="B3" s="558"/>
      <c r="C3" s="558"/>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c r="AM3" s="558"/>
      <c r="AN3" s="558"/>
      <c r="AO3" s="558"/>
      <c r="AP3" s="558"/>
      <c r="AQ3" s="558"/>
    </row>
    <row r="4" spans="1:44">
      <c r="A4" s="493" t="s">
        <v>3</v>
      </c>
      <c r="B4" s="493" t="s">
        <v>4</v>
      </c>
      <c r="C4" s="493" t="s">
        <v>5</v>
      </c>
      <c r="D4" s="493" t="s">
        <v>273</v>
      </c>
      <c r="E4" s="496" t="s">
        <v>7</v>
      </c>
      <c r="F4" s="493" t="s">
        <v>8</v>
      </c>
      <c r="G4" s="493"/>
      <c r="H4" s="493"/>
      <c r="I4" s="493"/>
      <c r="J4" s="493"/>
      <c r="K4" s="493"/>
      <c r="L4" s="493"/>
      <c r="M4" s="493"/>
      <c r="N4" s="493"/>
      <c r="O4" s="493"/>
      <c r="P4" s="496" t="s">
        <v>9</v>
      </c>
      <c r="Q4" s="496" t="s">
        <v>274</v>
      </c>
      <c r="R4" s="494" t="s">
        <v>275</v>
      </c>
      <c r="S4" s="495"/>
      <c r="T4" s="495"/>
      <c r="U4" s="495"/>
      <c r="V4" s="495"/>
      <c r="W4" s="495"/>
      <c r="X4" s="493" t="s">
        <v>276</v>
      </c>
      <c r="Y4" s="493"/>
      <c r="Z4" s="493"/>
      <c r="AA4" s="493"/>
      <c r="AB4" s="493"/>
      <c r="AC4" s="493" t="s">
        <v>277</v>
      </c>
      <c r="AD4" s="493"/>
      <c r="AE4" s="493"/>
      <c r="AF4" s="493"/>
      <c r="AG4" s="493"/>
      <c r="AH4" s="493"/>
      <c r="AI4" s="493"/>
      <c r="AJ4" s="493"/>
      <c r="AK4" s="493"/>
      <c r="AL4" s="493"/>
      <c r="AM4" s="493"/>
      <c r="AN4" s="493"/>
      <c r="AO4" s="493"/>
      <c r="AP4" s="493"/>
      <c r="AQ4" s="496" t="s">
        <v>14</v>
      </c>
    </row>
    <row r="5" spans="1:44">
      <c r="A5" s="493"/>
      <c r="B5" s="493"/>
      <c r="C5" s="493"/>
      <c r="D5" s="493"/>
      <c r="E5" s="496"/>
      <c r="F5" s="493" t="s">
        <v>15</v>
      </c>
      <c r="G5" s="493"/>
      <c r="H5" s="493"/>
      <c r="I5" s="493" t="s">
        <v>16</v>
      </c>
      <c r="J5" s="493"/>
      <c r="K5" s="493"/>
      <c r="L5" s="493"/>
      <c r="M5" s="493"/>
      <c r="N5" s="493"/>
      <c r="O5" s="493"/>
      <c r="P5" s="496"/>
      <c r="Q5" s="496"/>
      <c r="R5" s="503" t="s">
        <v>17</v>
      </c>
      <c r="S5" s="503" t="s">
        <v>18</v>
      </c>
      <c r="T5" s="503"/>
      <c r="U5" s="503"/>
      <c r="V5" s="503"/>
      <c r="W5" s="503"/>
      <c r="X5" s="503" t="s">
        <v>17</v>
      </c>
      <c r="Y5" s="503" t="s">
        <v>19</v>
      </c>
      <c r="Z5" s="503"/>
      <c r="AA5" s="503"/>
      <c r="AB5" s="503"/>
      <c r="AC5" s="503" t="s">
        <v>278</v>
      </c>
      <c r="AD5" s="493" t="s">
        <v>21</v>
      </c>
      <c r="AE5" s="493"/>
      <c r="AF5" s="493"/>
      <c r="AG5" s="493"/>
      <c r="AH5" s="493"/>
      <c r="AI5" s="493"/>
      <c r="AJ5" s="493"/>
      <c r="AK5" s="493"/>
      <c r="AL5" s="493"/>
      <c r="AM5" s="493"/>
      <c r="AN5" s="493"/>
      <c r="AO5" s="493"/>
      <c r="AP5" s="493"/>
      <c r="AQ5" s="496"/>
    </row>
    <row r="6" spans="1:44">
      <c r="A6" s="493"/>
      <c r="B6" s="493"/>
      <c r="C6" s="493"/>
      <c r="D6" s="493"/>
      <c r="E6" s="496"/>
      <c r="F6" s="496" t="s">
        <v>22</v>
      </c>
      <c r="G6" s="503" t="s">
        <v>23</v>
      </c>
      <c r="H6" s="503"/>
      <c r="I6" s="496" t="s">
        <v>24</v>
      </c>
      <c r="J6" s="496" t="s">
        <v>25</v>
      </c>
      <c r="K6" s="496" t="s">
        <v>26</v>
      </c>
      <c r="L6" s="496"/>
      <c r="M6" s="496" t="s">
        <v>22</v>
      </c>
      <c r="N6" s="503" t="s">
        <v>23</v>
      </c>
      <c r="O6" s="503"/>
      <c r="P6" s="496"/>
      <c r="Q6" s="496"/>
      <c r="R6" s="503"/>
      <c r="S6" s="559" t="s">
        <v>27</v>
      </c>
      <c r="T6" s="559" t="s">
        <v>28</v>
      </c>
      <c r="U6" s="559" t="s">
        <v>29</v>
      </c>
      <c r="V6" s="559" t="s">
        <v>30</v>
      </c>
      <c r="W6" s="559" t="s">
        <v>141</v>
      </c>
      <c r="X6" s="503"/>
      <c r="Y6" s="559" t="s">
        <v>279</v>
      </c>
      <c r="Z6" s="559" t="s">
        <v>280</v>
      </c>
      <c r="AA6" s="559" t="s">
        <v>281</v>
      </c>
      <c r="AB6" s="559" t="s">
        <v>282</v>
      </c>
      <c r="AC6" s="503"/>
      <c r="AD6" s="503" t="s">
        <v>283</v>
      </c>
      <c r="AE6" s="504" t="s">
        <v>284</v>
      </c>
      <c r="AF6" s="505"/>
      <c r="AG6" s="505"/>
      <c r="AH6" s="505"/>
      <c r="AI6" s="505"/>
      <c r="AJ6" s="505"/>
      <c r="AK6" s="505"/>
      <c r="AL6" s="505"/>
      <c r="AM6" s="505"/>
      <c r="AN6" s="505"/>
      <c r="AO6" s="505"/>
      <c r="AP6" s="505"/>
      <c r="AQ6" s="496"/>
    </row>
    <row r="7" spans="1:44">
      <c r="A7" s="493"/>
      <c r="B7" s="493"/>
      <c r="C7" s="493"/>
      <c r="D7" s="493"/>
      <c r="E7" s="496"/>
      <c r="F7" s="496"/>
      <c r="G7" s="503" t="s">
        <v>285</v>
      </c>
      <c r="H7" s="503" t="s">
        <v>286</v>
      </c>
      <c r="I7" s="496"/>
      <c r="J7" s="496"/>
      <c r="K7" s="496" t="s">
        <v>40</v>
      </c>
      <c r="L7" s="496" t="s">
        <v>41</v>
      </c>
      <c r="M7" s="496"/>
      <c r="N7" s="503" t="s">
        <v>285</v>
      </c>
      <c r="O7" s="503" t="s">
        <v>286</v>
      </c>
      <c r="P7" s="496"/>
      <c r="Q7" s="496"/>
      <c r="R7" s="503"/>
      <c r="S7" s="560"/>
      <c r="T7" s="560"/>
      <c r="U7" s="560"/>
      <c r="V7" s="560"/>
      <c r="W7" s="560"/>
      <c r="X7" s="503"/>
      <c r="Y7" s="560"/>
      <c r="Z7" s="560"/>
      <c r="AA7" s="560"/>
      <c r="AB7" s="560"/>
      <c r="AC7" s="503"/>
      <c r="AD7" s="503"/>
      <c r="AE7" s="503" t="s">
        <v>287</v>
      </c>
      <c r="AF7" s="503" t="s">
        <v>43</v>
      </c>
      <c r="AG7" s="503"/>
      <c r="AH7" s="503"/>
      <c r="AI7" s="503"/>
      <c r="AJ7" s="503"/>
      <c r="AK7" s="503"/>
      <c r="AL7" s="503"/>
      <c r="AM7" s="503"/>
      <c r="AN7" s="503"/>
      <c r="AO7" s="503"/>
      <c r="AP7" s="503"/>
      <c r="AQ7" s="496"/>
    </row>
    <row r="8" spans="1:44">
      <c r="A8" s="493"/>
      <c r="B8" s="493"/>
      <c r="C8" s="493"/>
      <c r="D8" s="493"/>
      <c r="E8" s="496"/>
      <c r="F8" s="496"/>
      <c r="G8" s="503"/>
      <c r="H8" s="503"/>
      <c r="I8" s="496"/>
      <c r="J8" s="496"/>
      <c r="K8" s="496"/>
      <c r="L8" s="496"/>
      <c r="M8" s="496"/>
      <c r="N8" s="503"/>
      <c r="O8" s="503"/>
      <c r="P8" s="496"/>
      <c r="Q8" s="496"/>
      <c r="R8" s="503"/>
      <c r="S8" s="560"/>
      <c r="T8" s="560"/>
      <c r="U8" s="560"/>
      <c r="V8" s="560"/>
      <c r="W8" s="560"/>
      <c r="X8" s="503"/>
      <c r="Y8" s="560"/>
      <c r="Z8" s="560"/>
      <c r="AA8" s="560"/>
      <c r="AB8" s="560"/>
      <c r="AC8" s="503"/>
      <c r="AD8" s="503"/>
      <c r="AE8" s="503"/>
      <c r="AF8" s="503" t="s">
        <v>288</v>
      </c>
      <c r="AG8" s="503"/>
      <c r="AH8" s="503"/>
      <c r="AI8" s="503"/>
      <c r="AJ8" s="503"/>
      <c r="AK8" s="503"/>
      <c r="AL8" s="503" t="s">
        <v>289</v>
      </c>
      <c r="AM8" s="503"/>
      <c r="AN8" s="503"/>
      <c r="AO8" s="503"/>
      <c r="AP8" s="503"/>
      <c r="AQ8" s="496"/>
    </row>
    <row r="9" spans="1:44">
      <c r="A9" s="493"/>
      <c r="B9" s="493"/>
      <c r="C9" s="493"/>
      <c r="D9" s="493"/>
      <c r="E9" s="496"/>
      <c r="F9" s="496"/>
      <c r="G9" s="503"/>
      <c r="H9" s="503"/>
      <c r="I9" s="496"/>
      <c r="J9" s="496"/>
      <c r="K9" s="496"/>
      <c r="L9" s="496"/>
      <c r="M9" s="496"/>
      <c r="N9" s="503"/>
      <c r="O9" s="503"/>
      <c r="P9" s="496"/>
      <c r="Q9" s="496"/>
      <c r="R9" s="503"/>
      <c r="S9" s="560"/>
      <c r="T9" s="560"/>
      <c r="U9" s="560"/>
      <c r="V9" s="560"/>
      <c r="W9" s="560"/>
      <c r="X9" s="503"/>
      <c r="Y9" s="560"/>
      <c r="Z9" s="560"/>
      <c r="AA9" s="560"/>
      <c r="AB9" s="560"/>
      <c r="AC9" s="503"/>
      <c r="AD9" s="503"/>
      <c r="AE9" s="503"/>
      <c r="AF9" s="503" t="s">
        <v>290</v>
      </c>
      <c r="AG9" s="503" t="s">
        <v>47</v>
      </c>
      <c r="AH9" s="503"/>
      <c r="AI9" s="503"/>
      <c r="AJ9" s="503"/>
      <c r="AK9" s="503"/>
      <c r="AL9" s="503" t="s">
        <v>291</v>
      </c>
      <c r="AM9" s="503" t="s">
        <v>19</v>
      </c>
      <c r="AN9" s="503"/>
      <c r="AO9" s="503"/>
      <c r="AP9" s="503"/>
      <c r="AQ9" s="496"/>
    </row>
    <row r="10" spans="1:44" ht="60">
      <c r="A10" s="493"/>
      <c r="B10" s="493"/>
      <c r="C10" s="493"/>
      <c r="D10" s="493"/>
      <c r="E10" s="496"/>
      <c r="F10" s="496"/>
      <c r="G10" s="503"/>
      <c r="H10" s="503"/>
      <c r="I10" s="496"/>
      <c r="J10" s="496"/>
      <c r="K10" s="496"/>
      <c r="L10" s="496"/>
      <c r="M10" s="496"/>
      <c r="N10" s="503"/>
      <c r="O10" s="503"/>
      <c r="P10" s="496"/>
      <c r="Q10" s="496"/>
      <c r="R10" s="503"/>
      <c r="S10" s="561"/>
      <c r="T10" s="561"/>
      <c r="U10" s="561"/>
      <c r="V10" s="561"/>
      <c r="W10" s="561"/>
      <c r="X10" s="503"/>
      <c r="Y10" s="561"/>
      <c r="Z10" s="561"/>
      <c r="AA10" s="561"/>
      <c r="AB10" s="561"/>
      <c r="AC10" s="503"/>
      <c r="AD10" s="503"/>
      <c r="AE10" s="503"/>
      <c r="AF10" s="503"/>
      <c r="AG10" s="181" t="s">
        <v>49</v>
      </c>
      <c r="AH10" s="181" t="s">
        <v>50</v>
      </c>
      <c r="AI10" s="181" t="s">
        <v>51</v>
      </c>
      <c r="AJ10" s="181" t="s">
        <v>292</v>
      </c>
      <c r="AK10" s="181" t="s">
        <v>53</v>
      </c>
      <c r="AL10" s="503"/>
      <c r="AM10" s="181" t="s">
        <v>32</v>
      </c>
      <c r="AN10" s="181" t="s">
        <v>54</v>
      </c>
      <c r="AO10" s="181" t="s">
        <v>34</v>
      </c>
      <c r="AP10" s="181" t="s">
        <v>293</v>
      </c>
      <c r="AQ10" s="496"/>
    </row>
    <row r="11" spans="1:44" ht="28">
      <c r="A11" s="309">
        <v>1</v>
      </c>
      <c r="B11" s="309">
        <v>2</v>
      </c>
      <c r="C11" s="309">
        <v>3</v>
      </c>
      <c r="D11" s="309">
        <v>4</v>
      </c>
      <c r="E11" s="309">
        <v>5</v>
      </c>
      <c r="F11" s="309">
        <v>6</v>
      </c>
      <c r="G11" s="309">
        <v>7</v>
      </c>
      <c r="H11" s="309">
        <v>8</v>
      </c>
      <c r="I11" s="309">
        <v>9</v>
      </c>
      <c r="J11" s="309">
        <v>10</v>
      </c>
      <c r="K11" s="309">
        <v>11</v>
      </c>
      <c r="L11" s="309">
        <v>12</v>
      </c>
      <c r="M11" s="309">
        <v>13</v>
      </c>
      <c r="N11" s="309">
        <v>14</v>
      </c>
      <c r="O11" s="309">
        <v>15</v>
      </c>
      <c r="P11" s="309">
        <v>16</v>
      </c>
      <c r="Q11" s="309">
        <v>17</v>
      </c>
      <c r="R11" s="309" t="s">
        <v>55</v>
      </c>
      <c r="S11" s="309">
        <v>19</v>
      </c>
      <c r="T11" s="309">
        <v>20</v>
      </c>
      <c r="U11" s="309">
        <v>21</v>
      </c>
      <c r="V11" s="309">
        <v>22</v>
      </c>
      <c r="W11" s="309">
        <v>23</v>
      </c>
      <c r="X11" s="358" t="s">
        <v>56</v>
      </c>
      <c r="Y11" s="309">
        <v>25</v>
      </c>
      <c r="Z11" s="309">
        <v>26</v>
      </c>
      <c r="AA11" s="309">
        <v>27</v>
      </c>
      <c r="AB11" s="309">
        <v>28</v>
      </c>
      <c r="AC11" s="309" t="s">
        <v>57</v>
      </c>
      <c r="AD11" s="309">
        <v>30</v>
      </c>
      <c r="AE11" s="309">
        <v>31</v>
      </c>
      <c r="AF11" s="358" t="s">
        <v>58</v>
      </c>
      <c r="AG11" s="309">
        <v>33</v>
      </c>
      <c r="AH11" s="309">
        <v>34</v>
      </c>
      <c r="AI11" s="309">
        <v>35</v>
      </c>
      <c r="AJ11" s="309">
        <v>36</v>
      </c>
      <c r="AK11" s="309">
        <v>37</v>
      </c>
      <c r="AL11" s="16" t="s">
        <v>59</v>
      </c>
      <c r="AM11" s="309">
        <v>39</v>
      </c>
      <c r="AN11" s="309">
        <v>40</v>
      </c>
      <c r="AO11" s="309">
        <v>41</v>
      </c>
      <c r="AP11" s="309">
        <v>42</v>
      </c>
      <c r="AQ11" s="309">
        <v>43</v>
      </c>
    </row>
    <row r="12" spans="1:44" s="26" customFormat="1">
      <c r="A12" s="10"/>
      <c r="B12" s="351"/>
      <c r="C12" s="351"/>
      <c r="D12" s="10"/>
      <c r="E12" s="10" t="s">
        <v>60</v>
      </c>
      <c r="F12" s="352"/>
      <c r="G12" s="351"/>
      <c r="H12" s="351"/>
      <c r="I12" s="351"/>
      <c r="J12" s="10"/>
      <c r="K12" s="10"/>
      <c r="L12" s="10"/>
      <c r="M12" s="351"/>
      <c r="N12" s="351"/>
      <c r="O12" s="351"/>
      <c r="P12" s="10"/>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4"/>
    </row>
    <row r="13" spans="1:44" s="26" customFormat="1" ht="115.5" customHeight="1">
      <c r="A13" s="10" t="s">
        <v>61</v>
      </c>
      <c r="B13" s="351"/>
      <c r="C13" s="351"/>
      <c r="D13" s="10"/>
      <c r="E13" s="10" t="s">
        <v>62</v>
      </c>
      <c r="F13" s="352">
        <v>0</v>
      </c>
      <c r="G13" s="352">
        <v>0</v>
      </c>
      <c r="H13" s="352">
        <v>0</v>
      </c>
      <c r="I13" s="352">
        <v>0</v>
      </c>
      <c r="J13" s="352">
        <v>0</v>
      </c>
      <c r="K13" s="352">
        <v>0</v>
      </c>
      <c r="L13" s="352">
        <v>0</v>
      </c>
      <c r="M13" s="352">
        <v>0</v>
      </c>
      <c r="N13" s="352">
        <v>0</v>
      </c>
      <c r="O13" s="352">
        <v>0</v>
      </c>
      <c r="P13" s="352">
        <v>0</v>
      </c>
      <c r="Q13" s="352">
        <v>0</v>
      </c>
      <c r="R13" s="352">
        <v>0</v>
      </c>
      <c r="S13" s="352">
        <v>0</v>
      </c>
      <c r="T13" s="352">
        <v>0</v>
      </c>
      <c r="U13" s="352">
        <v>0</v>
      </c>
      <c r="V13" s="352">
        <v>0</v>
      </c>
      <c r="W13" s="352">
        <v>0</v>
      </c>
      <c r="X13" s="352">
        <v>0</v>
      </c>
      <c r="Y13" s="352">
        <v>0</v>
      </c>
      <c r="Z13" s="352">
        <v>0</v>
      </c>
      <c r="AA13" s="352">
        <v>0</v>
      </c>
      <c r="AB13" s="352">
        <v>0</v>
      </c>
      <c r="AC13" s="352">
        <v>0</v>
      </c>
      <c r="AD13" s="352">
        <v>0</v>
      </c>
      <c r="AE13" s="352">
        <v>0</v>
      </c>
      <c r="AF13" s="352">
        <v>0</v>
      </c>
      <c r="AG13" s="352">
        <v>0</v>
      </c>
      <c r="AH13" s="352">
        <v>0</v>
      </c>
      <c r="AI13" s="352">
        <v>0</v>
      </c>
      <c r="AJ13" s="352">
        <v>0</v>
      </c>
      <c r="AK13" s="352">
        <v>0</v>
      </c>
      <c r="AL13" s="352">
        <v>0</v>
      </c>
      <c r="AM13" s="352">
        <v>0</v>
      </c>
      <c r="AN13" s="352">
        <v>0</v>
      </c>
      <c r="AO13" s="352">
        <v>0</v>
      </c>
      <c r="AP13" s="352">
        <v>0</v>
      </c>
      <c r="AQ13" s="354"/>
    </row>
    <row r="14" spans="1:44" s="26" customFormat="1" ht="115.5" customHeight="1">
      <c r="A14" s="10" t="s">
        <v>75</v>
      </c>
      <c r="B14" s="351"/>
      <c r="C14" s="351"/>
      <c r="D14" s="10"/>
      <c r="E14" s="10" t="s">
        <v>76</v>
      </c>
      <c r="F14" s="353"/>
      <c r="G14" s="351"/>
      <c r="H14" s="351"/>
      <c r="I14" s="351"/>
      <c r="J14" s="10"/>
      <c r="K14" s="10"/>
      <c r="L14" s="10"/>
      <c r="M14" s="353"/>
      <c r="N14" s="13">
        <f>SUM(N15:N64)</f>
        <v>47647.92887299999</v>
      </c>
      <c r="O14" s="13">
        <f>SUM(O15:O64)</f>
        <v>33785.193839000007</v>
      </c>
      <c r="P14" s="355"/>
      <c r="Q14" s="13">
        <f>SUM(Q15:Q64)</f>
        <v>47647.92887299999</v>
      </c>
      <c r="R14" s="13">
        <f>SUM(S14:W14)</f>
        <v>33785.193839</v>
      </c>
      <c r="S14" s="13">
        <f>SUM(S15:S64)</f>
        <v>9352.9697859999997</v>
      </c>
      <c r="T14" s="13">
        <f>SUM(T15:T64)</f>
        <v>14005.604614999997</v>
      </c>
      <c r="U14" s="13">
        <f>SUM(U15:U64)</f>
        <v>3980.8291439999998</v>
      </c>
      <c r="V14" s="13">
        <f>SUM(V15:V64)</f>
        <v>0</v>
      </c>
      <c r="W14" s="13">
        <f>SUM(W15:W64)</f>
        <v>6445.7902940000004</v>
      </c>
      <c r="X14" s="13">
        <f t="shared" ref="X14:X33" si="0">SUM(Y14:AB14)</f>
        <v>2368.2295279999998</v>
      </c>
      <c r="Y14" s="13">
        <f>SUM(Y15:Y64)</f>
        <v>2368.2295279999998</v>
      </c>
      <c r="Z14" s="13">
        <f>SUM(Z15:Z64)</f>
        <v>0</v>
      </c>
      <c r="AA14" s="13">
        <f>SUM(AA15:AA64)</f>
        <v>0</v>
      </c>
      <c r="AB14" s="13">
        <f>SUM(AB15:AB64)</f>
        <v>0</v>
      </c>
      <c r="AC14" s="13">
        <f>AD14+AE14</f>
        <v>33785.193839</v>
      </c>
      <c r="AD14" s="351"/>
      <c r="AE14" s="13">
        <f>AF14+AL14</f>
        <v>33785.193839</v>
      </c>
      <c r="AF14" s="13">
        <f>SUM(AG14:AK14)</f>
        <v>31416.964310999996</v>
      </c>
      <c r="AG14" s="13">
        <f>SUM(AG15:AG64)</f>
        <v>8674.7402579999998</v>
      </c>
      <c r="AH14" s="13">
        <f>SUM(AH15:AH64)</f>
        <v>12315.604614999998</v>
      </c>
      <c r="AI14" s="13">
        <f>SUM(AI15:AI64)</f>
        <v>3980.8291439999998</v>
      </c>
      <c r="AJ14" s="13">
        <f>SUM(AJ15:AJ64)</f>
        <v>0</v>
      </c>
      <c r="AK14" s="13">
        <f>SUM(AK15:AK64)</f>
        <v>6445.7902940000004</v>
      </c>
      <c r="AL14" s="13">
        <f t="shared" ref="AL14:AL33" si="1">SUM(AM14:AP14)</f>
        <v>2368.2295279999998</v>
      </c>
      <c r="AM14" s="13">
        <f>SUM(AM15:AM64)</f>
        <v>2368.2295279999998</v>
      </c>
      <c r="AN14" s="13">
        <f>SUM(AN15:AN64)</f>
        <v>0</v>
      </c>
      <c r="AO14" s="13">
        <f>SUM(AO15:AO64)</f>
        <v>0</v>
      </c>
      <c r="AP14" s="13">
        <f>SUM(AP15:AP64)</f>
        <v>0</v>
      </c>
      <c r="AQ14" s="351"/>
    </row>
    <row r="15" spans="1:44" ht="128.25" customHeight="1">
      <c r="A15" s="14"/>
      <c r="B15" s="14" t="s">
        <v>63</v>
      </c>
      <c r="C15" s="354">
        <v>7894503</v>
      </c>
      <c r="D15" s="14" t="s">
        <v>294</v>
      </c>
      <c r="E15" s="354" t="s">
        <v>295</v>
      </c>
      <c r="F15" s="313"/>
      <c r="G15" s="354"/>
      <c r="H15" s="354"/>
      <c r="I15" s="14" t="s">
        <v>166</v>
      </c>
      <c r="J15" s="14" t="s">
        <v>296</v>
      </c>
      <c r="K15" s="14">
        <v>2021</v>
      </c>
      <c r="L15" s="14">
        <v>2021</v>
      </c>
      <c r="M15" s="313" t="s">
        <v>297</v>
      </c>
      <c r="N15" s="356">
        <v>872.02454</v>
      </c>
      <c r="O15" s="356">
        <v>720.81141500000001</v>
      </c>
      <c r="P15" s="14">
        <v>2021</v>
      </c>
      <c r="Q15" s="356">
        <v>872.02454</v>
      </c>
      <c r="R15" s="356">
        <f>SUM(S15:W15)</f>
        <v>720.81141500000001</v>
      </c>
      <c r="S15" s="356">
        <v>720.81141500000001</v>
      </c>
      <c r="T15" s="354"/>
      <c r="U15" s="354"/>
      <c r="V15" s="354"/>
      <c r="W15" s="354"/>
      <c r="X15" s="124">
        <f t="shared" si="0"/>
        <v>0</v>
      </c>
      <c r="Y15" s="354"/>
      <c r="Z15" s="354"/>
      <c r="AA15" s="354"/>
      <c r="AB15" s="354"/>
      <c r="AC15" s="13"/>
      <c r="AD15" s="354"/>
      <c r="AE15" s="13"/>
      <c r="AF15" s="124">
        <f t="shared" ref="AF15:AF64" si="2">SUM(AG15:AK15)</f>
        <v>720.81141500000001</v>
      </c>
      <c r="AG15" s="356">
        <v>720.81141500000001</v>
      </c>
      <c r="AH15" s="354"/>
      <c r="AI15" s="354"/>
      <c r="AJ15" s="354"/>
      <c r="AK15" s="354"/>
      <c r="AL15" s="124">
        <f t="shared" si="1"/>
        <v>0</v>
      </c>
      <c r="AM15" s="354"/>
      <c r="AN15" s="354"/>
      <c r="AO15" s="354"/>
      <c r="AP15" s="354"/>
      <c r="AQ15" s="354"/>
      <c r="AR15" s="362">
        <f>O15-R15</f>
        <v>0</v>
      </c>
    </row>
    <row r="16" spans="1:44" ht="128.25" customHeight="1">
      <c r="A16" s="14"/>
      <c r="B16" s="14" t="s">
        <v>63</v>
      </c>
      <c r="C16" s="354">
        <v>7928502</v>
      </c>
      <c r="D16" s="14" t="s">
        <v>294</v>
      </c>
      <c r="E16" s="354" t="s">
        <v>298</v>
      </c>
      <c r="F16" s="313"/>
      <c r="G16" s="354"/>
      <c r="H16" s="354"/>
      <c r="I16" s="14" t="s">
        <v>166</v>
      </c>
      <c r="J16" s="14" t="s">
        <v>299</v>
      </c>
      <c r="K16" s="14">
        <v>2021</v>
      </c>
      <c r="L16" s="14">
        <v>2021</v>
      </c>
      <c r="M16" s="313" t="s">
        <v>300</v>
      </c>
      <c r="N16" s="356">
        <v>1483.7278819999999</v>
      </c>
      <c r="O16" s="356">
        <v>1247</v>
      </c>
      <c r="P16" s="14">
        <v>2021</v>
      </c>
      <c r="Q16" s="356">
        <v>1483.7278819999999</v>
      </c>
      <c r="R16" s="356">
        <f t="shared" ref="R16:R53" si="3">SUM(S16:W16)</f>
        <v>1247</v>
      </c>
      <c r="S16" s="356">
        <v>1247</v>
      </c>
      <c r="T16" s="354"/>
      <c r="U16" s="354"/>
      <c r="V16" s="354"/>
      <c r="W16" s="354"/>
      <c r="X16" s="124">
        <f t="shared" si="0"/>
        <v>237</v>
      </c>
      <c r="Y16" s="356">
        <v>237</v>
      </c>
      <c r="Z16" s="354"/>
      <c r="AA16" s="354"/>
      <c r="AB16" s="354"/>
      <c r="AC16" s="13"/>
      <c r="AD16" s="354"/>
      <c r="AE16" s="13"/>
      <c r="AF16" s="124">
        <f t="shared" si="2"/>
        <v>1010</v>
      </c>
      <c r="AG16" s="356">
        <f>1247-237</f>
        <v>1010</v>
      </c>
      <c r="AH16" s="354"/>
      <c r="AI16" s="354"/>
      <c r="AJ16" s="354"/>
      <c r="AK16" s="354"/>
      <c r="AL16" s="124">
        <f t="shared" si="1"/>
        <v>237</v>
      </c>
      <c r="AM16" s="356">
        <v>237</v>
      </c>
      <c r="AN16" s="354"/>
      <c r="AO16" s="354"/>
      <c r="AP16" s="354"/>
      <c r="AQ16" s="354"/>
      <c r="AR16" s="362">
        <f t="shared" ref="AR16:AR65" si="4">O16-R16</f>
        <v>0</v>
      </c>
    </row>
    <row r="17" spans="1:44" ht="128.25" customHeight="1">
      <c r="A17" s="14"/>
      <c r="B17" s="14" t="s">
        <v>63</v>
      </c>
      <c r="C17" s="354">
        <v>7928503</v>
      </c>
      <c r="D17" s="14" t="s">
        <v>294</v>
      </c>
      <c r="E17" s="354" t="s">
        <v>301</v>
      </c>
      <c r="F17" s="313"/>
      <c r="G17" s="354"/>
      <c r="H17" s="354"/>
      <c r="I17" s="14" t="s">
        <v>166</v>
      </c>
      <c r="J17" s="14" t="s">
        <v>302</v>
      </c>
      <c r="K17" s="14">
        <v>2021</v>
      </c>
      <c r="L17" s="14">
        <v>2021</v>
      </c>
      <c r="M17" s="313" t="s">
        <v>303</v>
      </c>
      <c r="N17" s="356">
        <v>391.98388799999998</v>
      </c>
      <c r="O17" s="356">
        <v>330.26541900000001</v>
      </c>
      <c r="P17" s="14">
        <v>2021</v>
      </c>
      <c r="Q17" s="356">
        <v>391.98388799999998</v>
      </c>
      <c r="R17" s="356">
        <f t="shared" si="3"/>
        <v>330.26541900000001</v>
      </c>
      <c r="S17" s="356">
        <v>330.26541900000001</v>
      </c>
      <c r="T17" s="354"/>
      <c r="U17" s="354"/>
      <c r="V17" s="354"/>
      <c r="W17" s="354"/>
      <c r="X17" s="124">
        <f t="shared" si="0"/>
        <v>12</v>
      </c>
      <c r="Y17" s="356">
        <v>12</v>
      </c>
      <c r="Z17" s="354"/>
      <c r="AA17" s="354"/>
      <c r="AB17" s="354"/>
      <c r="AC17" s="13"/>
      <c r="AD17" s="354"/>
      <c r="AE17" s="13"/>
      <c r="AF17" s="124">
        <f t="shared" si="2"/>
        <v>318.26541900000001</v>
      </c>
      <c r="AG17" s="356">
        <f>330.265419-12</f>
        <v>318.26541900000001</v>
      </c>
      <c r="AH17" s="354"/>
      <c r="AI17" s="354"/>
      <c r="AJ17" s="354"/>
      <c r="AK17" s="354"/>
      <c r="AL17" s="124">
        <f t="shared" si="1"/>
        <v>12</v>
      </c>
      <c r="AM17" s="356">
        <v>12</v>
      </c>
      <c r="AN17" s="354"/>
      <c r="AO17" s="354"/>
      <c r="AP17" s="354"/>
      <c r="AQ17" s="354"/>
      <c r="AR17" s="362">
        <f t="shared" si="4"/>
        <v>0</v>
      </c>
    </row>
    <row r="18" spans="1:44" ht="128.25" customHeight="1">
      <c r="A18" s="14"/>
      <c r="B18" s="14" t="s">
        <v>63</v>
      </c>
      <c r="C18" s="354">
        <v>7928501</v>
      </c>
      <c r="D18" s="14" t="s">
        <v>294</v>
      </c>
      <c r="E18" s="354" t="s">
        <v>304</v>
      </c>
      <c r="F18" s="313"/>
      <c r="G18" s="354"/>
      <c r="H18" s="354"/>
      <c r="I18" s="14" t="s">
        <v>166</v>
      </c>
      <c r="J18" s="14" t="s">
        <v>305</v>
      </c>
      <c r="K18" s="14">
        <v>2021</v>
      </c>
      <c r="L18" s="14">
        <v>2021</v>
      </c>
      <c r="M18" s="313" t="s">
        <v>306</v>
      </c>
      <c r="N18" s="356">
        <v>1745.050473</v>
      </c>
      <c r="O18" s="356">
        <v>1467.301723</v>
      </c>
      <c r="P18" s="14">
        <v>2021</v>
      </c>
      <c r="Q18" s="356">
        <v>1745.050473</v>
      </c>
      <c r="R18" s="356">
        <f t="shared" si="3"/>
        <v>1467.301723</v>
      </c>
      <c r="S18" s="356">
        <v>1467.301723</v>
      </c>
      <c r="T18" s="354"/>
      <c r="U18" s="354"/>
      <c r="V18" s="354"/>
      <c r="W18" s="354"/>
      <c r="X18" s="124">
        <f t="shared" si="0"/>
        <v>54</v>
      </c>
      <c r="Y18" s="356">
        <v>54</v>
      </c>
      <c r="Z18" s="354"/>
      <c r="AA18" s="354"/>
      <c r="AB18" s="354"/>
      <c r="AC18" s="13"/>
      <c r="AD18" s="354"/>
      <c r="AE18" s="13"/>
      <c r="AF18" s="124">
        <f t="shared" si="2"/>
        <v>1413.301723</v>
      </c>
      <c r="AG18" s="356">
        <f>1467.301723-54</f>
        <v>1413.301723</v>
      </c>
      <c r="AH18" s="354"/>
      <c r="AI18" s="354"/>
      <c r="AJ18" s="354"/>
      <c r="AK18" s="354"/>
      <c r="AL18" s="124">
        <f t="shared" si="1"/>
        <v>54</v>
      </c>
      <c r="AM18" s="356">
        <v>54</v>
      </c>
      <c r="AN18" s="354"/>
      <c r="AO18" s="354"/>
      <c r="AP18" s="354"/>
      <c r="AQ18" s="354"/>
      <c r="AR18" s="362">
        <f t="shared" si="4"/>
        <v>0</v>
      </c>
    </row>
    <row r="19" spans="1:44" ht="128.25" customHeight="1">
      <c r="A19" s="14"/>
      <c r="B19" s="14" t="s">
        <v>63</v>
      </c>
      <c r="C19" s="354">
        <v>7902678</v>
      </c>
      <c r="D19" s="14" t="s">
        <v>294</v>
      </c>
      <c r="E19" s="354" t="s">
        <v>307</v>
      </c>
      <c r="F19" s="313"/>
      <c r="G19" s="354"/>
      <c r="H19" s="354"/>
      <c r="I19" s="14" t="s">
        <v>308</v>
      </c>
      <c r="J19" s="357" t="s">
        <v>309</v>
      </c>
      <c r="K19" s="14">
        <v>2021</v>
      </c>
      <c r="L19" s="14">
        <v>2021</v>
      </c>
      <c r="M19" s="313" t="s">
        <v>310</v>
      </c>
      <c r="N19" s="356">
        <v>392.97704199999998</v>
      </c>
      <c r="O19" s="356">
        <v>229.74420900000001</v>
      </c>
      <c r="P19" s="14">
        <v>2021</v>
      </c>
      <c r="Q19" s="356">
        <v>392.97704199999998</v>
      </c>
      <c r="R19" s="356">
        <f t="shared" si="3"/>
        <v>229.74420900000001</v>
      </c>
      <c r="S19" s="356">
        <v>229.74420900000001</v>
      </c>
      <c r="T19" s="354"/>
      <c r="U19" s="354"/>
      <c r="V19" s="354"/>
      <c r="W19" s="354"/>
      <c r="X19" s="124">
        <f t="shared" si="0"/>
        <v>0</v>
      </c>
      <c r="Y19" s="354"/>
      <c r="Z19" s="354"/>
      <c r="AA19" s="354"/>
      <c r="AB19" s="354"/>
      <c r="AC19" s="13"/>
      <c r="AD19" s="354"/>
      <c r="AE19" s="13"/>
      <c r="AF19" s="124">
        <f t="shared" si="2"/>
        <v>229.74420900000001</v>
      </c>
      <c r="AG19" s="356">
        <v>229.74420900000001</v>
      </c>
      <c r="AH19" s="354"/>
      <c r="AI19" s="354"/>
      <c r="AJ19" s="354"/>
      <c r="AK19" s="354"/>
      <c r="AL19" s="124">
        <f t="shared" si="1"/>
        <v>0</v>
      </c>
      <c r="AM19" s="354"/>
      <c r="AN19" s="354"/>
      <c r="AO19" s="354"/>
      <c r="AP19" s="354"/>
      <c r="AQ19" s="354"/>
      <c r="AR19" s="362">
        <f t="shared" si="4"/>
        <v>0</v>
      </c>
    </row>
    <row r="20" spans="1:44" ht="128.25" customHeight="1">
      <c r="A20" s="14"/>
      <c r="B20" s="14" t="s">
        <v>63</v>
      </c>
      <c r="C20" s="354">
        <v>7932247</v>
      </c>
      <c r="D20" s="14" t="s">
        <v>294</v>
      </c>
      <c r="E20" s="354" t="s">
        <v>311</v>
      </c>
      <c r="F20" s="313"/>
      <c r="G20" s="354"/>
      <c r="H20" s="354"/>
      <c r="I20" s="14" t="s">
        <v>308</v>
      </c>
      <c r="J20" s="14" t="s">
        <v>312</v>
      </c>
      <c r="K20" s="14">
        <v>2021</v>
      </c>
      <c r="L20" s="14">
        <v>2021</v>
      </c>
      <c r="M20" s="313" t="s">
        <v>313</v>
      </c>
      <c r="N20" s="356">
        <v>348.50631199999998</v>
      </c>
      <c r="O20" s="356">
        <v>202.52157099999999</v>
      </c>
      <c r="P20" s="14">
        <v>2021</v>
      </c>
      <c r="Q20" s="356">
        <v>348.50631199999998</v>
      </c>
      <c r="R20" s="356">
        <f t="shared" si="3"/>
        <v>202.52157099999999</v>
      </c>
      <c r="S20" s="356">
        <v>202.52157099999999</v>
      </c>
      <c r="T20" s="354"/>
      <c r="U20" s="354"/>
      <c r="V20" s="354"/>
      <c r="W20" s="354"/>
      <c r="X20" s="124">
        <f t="shared" si="0"/>
        <v>202.52157099999999</v>
      </c>
      <c r="Y20" s="356">
        <v>202.52157099999999</v>
      </c>
      <c r="Z20" s="354"/>
      <c r="AA20" s="354"/>
      <c r="AB20" s="354"/>
      <c r="AC20" s="13"/>
      <c r="AD20" s="354"/>
      <c r="AE20" s="13"/>
      <c r="AF20" s="124">
        <f t="shared" si="2"/>
        <v>0</v>
      </c>
      <c r="AG20" s="356">
        <v>0</v>
      </c>
      <c r="AH20" s="354"/>
      <c r="AI20" s="354"/>
      <c r="AJ20" s="354"/>
      <c r="AK20" s="354"/>
      <c r="AL20" s="124">
        <f t="shared" si="1"/>
        <v>202.52157099999999</v>
      </c>
      <c r="AM20" s="356">
        <v>202.52157099999999</v>
      </c>
      <c r="AN20" s="354"/>
      <c r="AO20" s="354"/>
      <c r="AP20" s="354"/>
      <c r="AQ20" s="354"/>
      <c r="AR20" s="362">
        <f t="shared" si="4"/>
        <v>0</v>
      </c>
    </row>
    <row r="21" spans="1:44" ht="128.25" customHeight="1">
      <c r="A21" s="14"/>
      <c r="B21" s="14" t="s">
        <v>63</v>
      </c>
      <c r="C21" s="354">
        <v>7902675</v>
      </c>
      <c r="D21" s="14" t="s">
        <v>294</v>
      </c>
      <c r="E21" s="354" t="s">
        <v>314</v>
      </c>
      <c r="F21" s="313"/>
      <c r="G21" s="354"/>
      <c r="H21" s="354"/>
      <c r="I21" s="14" t="s">
        <v>308</v>
      </c>
      <c r="J21" s="14" t="s">
        <v>315</v>
      </c>
      <c r="K21" s="14">
        <v>2021</v>
      </c>
      <c r="L21" s="14">
        <v>2021</v>
      </c>
      <c r="M21" s="313" t="s">
        <v>316</v>
      </c>
      <c r="N21" s="356">
        <v>314.083643</v>
      </c>
      <c r="O21" s="356">
        <v>182.69737599999999</v>
      </c>
      <c r="P21" s="14">
        <v>2021</v>
      </c>
      <c r="Q21" s="356">
        <v>314.083643</v>
      </c>
      <c r="R21" s="356">
        <f t="shared" si="3"/>
        <v>182.69737599999999</v>
      </c>
      <c r="S21" s="356">
        <v>182.69737599999999</v>
      </c>
      <c r="T21" s="354"/>
      <c r="U21" s="354"/>
      <c r="V21" s="354"/>
      <c r="W21" s="354"/>
      <c r="X21" s="124">
        <f t="shared" si="0"/>
        <v>0</v>
      </c>
      <c r="Y21" s="354"/>
      <c r="Z21" s="354"/>
      <c r="AA21" s="354"/>
      <c r="AB21" s="354"/>
      <c r="AC21" s="13"/>
      <c r="AD21" s="354"/>
      <c r="AE21" s="13"/>
      <c r="AF21" s="124">
        <f t="shared" si="2"/>
        <v>182.69737599999999</v>
      </c>
      <c r="AG21" s="356">
        <v>182.69737599999999</v>
      </c>
      <c r="AH21" s="354"/>
      <c r="AI21" s="354"/>
      <c r="AJ21" s="354"/>
      <c r="AK21" s="354"/>
      <c r="AL21" s="124">
        <f t="shared" si="1"/>
        <v>0</v>
      </c>
      <c r="AM21" s="354"/>
      <c r="AN21" s="354"/>
      <c r="AO21" s="354"/>
      <c r="AP21" s="354"/>
      <c r="AQ21" s="354"/>
      <c r="AR21" s="362">
        <f t="shared" si="4"/>
        <v>0</v>
      </c>
    </row>
    <row r="22" spans="1:44" ht="128.25" customHeight="1">
      <c r="A22" s="14"/>
      <c r="B22" s="14" t="s">
        <v>63</v>
      </c>
      <c r="C22" s="354">
        <v>7902680</v>
      </c>
      <c r="D22" s="14" t="s">
        <v>294</v>
      </c>
      <c r="E22" s="354" t="s">
        <v>317</v>
      </c>
      <c r="F22" s="313"/>
      <c r="G22" s="354"/>
      <c r="H22" s="354"/>
      <c r="I22" s="14" t="s">
        <v>308</v>
      </c>
      <c r="J22" s="14" t="s">
        <v>318</v>
      </c>
      <c r="K22" s="14">
        <v>2021</v>
      </c>
      <c r="L22" s="14">
        <v>2021</v>
      </c>
      <c r="M22" s="313" t="s">
        <v>319</v>
      </c>
      <c r="N22" s="356">
        <v>87.204143000000002</v>
      </c>
      <c r="O22" s="356">
        <v>50.707957</v>
      </c>
      <c r="P22" s="14">
        <v>2021</v>
      </c>
      <c r="Q22" s="356">
        <v>87.204143000000002</v>
      </c>
      <c r="R22" s="356">
        <f t="shared" si="3"/>
        <v>50.707957</v>
      </c>
      <c r="S22" s="356">
        <v>50.707957</v>
      </c>
      <c r="T22" s="354"/>
      <c r="U22" s="354"/>
      <c r="V22" s="354"/>
      <c r="W22" s="354"/>
      <c r="X22" s="124">
        <f t="shared" si="0"/>
        <v>0</v>
      </c>
      <c r="Y22" s="354"/>
      <c r="Z22" s="354"/>
      <c r="AA22" s="354"/>
      <c r="AB22" s="354"/>
      <c r="AC22" s="13"/>
      <c r="AD22" s="354"/>
      <c r="AE22" s="13"/>
      <c r="AF22" s="124">
        <f t="shared" si="2"/>
        <v>50.707957</v>
      </c>
      <c r="AG22" s="356">
        <v>50.707957</v>
      </c>
      <c r="AH22" s="354"/>
      <c r="AI22" s="354"/>
      <c r="AJ22" s="354"/>
      <c r="AK22" s="354"/>
      <c r="AL22" s="124">
        <f t="shared" si="1"/>
        <v>0</v>
      </c>
      <c r="AM22" s="354"/>
      <c r="AN22" s="354"/>
      <c r="AO22" s="354"/>
      <c r="AP22" s="354"/>
      <c r="AQ22" s="354"/>
      <c r="AR22" s="362">
        <f t="shared" si="4"/>
        <v>0</v>
      </c>
    </row>
    <row r="23" spans="1:44" ht="128.25" customHeight="1">
      <c r="A23" s="14"/>
      <c r="B23" s="14" t="s">
        <v>63</v>
      </c>
      <c r="C23" s="354">
        <v>7902679</v>
      </c>
      <c r="D23" s="14" t="s">
        <v>294</v>
      </c>
      <c r="E23" s="354" t="s">
        <v>320</v>
      </c>
      <c r="F23" s="313"/>
      <c r="G23" s="354"/>
      <c r="H23" s="354"/>
      <c r="I23" s="14" t="s">
        <v>308</v>
      </c>
      <c r="J23" s="14" t="s">
        <v>318</v>
      </c>
      <c r="K23" s="14">
        <v>2021</v>
      </c>
      <c r="L23" s="14">
        <v>2021</v>
      </c>
      <c r="M23" s="313" t="s">
        <v>321</v>
      </c>
      <c r="N23" s="356">
        <v>87.204143000000002</v>
      </c>
      <c r="O23" s="356">
        <v>50.707957</v>
      </c>
      <c r="P23" s="14">
        <v>2021</v>
      </c>
      <c r="Q23" s="356">
        <v>87.204143000000002</v>
      </c>
      <c r="R23" s="356">
        <f t="shared" si="3"/>
        <v>50.707957</v>
      </c>
      <c r="S23" s="356">
        <v>50.707957</v>
      </c>
      <c r="T23" s="354"/>
      <c r="U23" s="354"/>
      <c r="V23" s="354"/>
      <c r="W23" s="354"/>
      <c r="X23" s="124">
        <f t="shared" si="0"/>
        <v>0</v>
      </c>
      <c r="Y23" s="354"/>
      <c r="Z23" s="354"/>
      <c r="AA23" s="354"/>
      <c r="AB23" s="354"/>
      <c r="AC23" s="13"/>
      <c r="AD23" s="354"/>
      <c r="AE23" s="13"/>
      <c r="AF23" s="124">
        <f t="shared" si="2"/>
        <v>50.707957</v>
      </c>
      <c r="AG23" s="356">
        <v>50.707957</v>
      </c>
      <c r="AH23" s="354"/>
      <c r="AI23" s="354"/>
      <c r="AJ23" s="354"/>
      <c r="AK23" s="354"/>
      <c r="AL23" s="124">
        <f t="shared" si="1"/>
        <v>0</v>
      </c>
      <c r="AM23" s="354"/>
      <c r="AN23" s="354"/>
      <c r="AO23" s="354"/>
      <c r="AP23" s="354"/>
      <c r="AQ23" s="354"/>
      <c r="AR23" s="362">
        <f t="shared" si="4"/>
        <v>0</v>
      </c>
    </row>
    <row r="24" spans="1:44" ht="128.25" customHeight="1">
      <c r="A24" s="14"/>
      <c r="B24" s="14" t="s">
        <v>63</v>
      </c>
      <c r="C24" s="354">
        <v>7902676</v>
      </c>
      <c r="D24" s="14" t="s">
        <v>294</v>
      </c>
      <c r="E24" s="354" t="s">
        <v>322</v>
      </c>
      <c r="F24" s="313"/>
      <c r="G24" s="354"/>
      <c r="H24" s="354"/>
      <c r="I24" s="14" t="s">
        <v>308</v>
      </c>
      <c r="J24" s="14" t="s">
        <v>323</v>
      </c>
      <c r="K24" s="14">
        <v>2021</v>
      </c>
      <c r="L24" s="14">
        <v>2021</v>
      </c>
      <c r="M24" s="313" t="s">
        <v>324</v>
      </c>
      <c r="N24" s="356">
        <v>69.698272000000003</v>
      </c>
      <c r="O24" s="356">
        <v>40.501323999999997</v>
      </c>
      <c r="P24" s="14">
        <v>2021</v>
      </c>
      <c r="Q24" s="356">
        <v>69.698272000000003</v>
      </c>
      <c r="R24" s="356">
        <f t="shared" si="3"/>
        <v>40.501323999999997</v>
      </c>
      <c r="S24" s="356">
        <v>40.501323999999997</v>
      </c>
      <c r="T24" s="354"/>
      <c r="U24" s="354"/>
      <c r="V24" s="354"/>
      <c r="W24" s="354"/>
      <c r="X24" s="124">
        <f t="shared" si="0"/>
        <v>0</v>
      </c>
      <c r="Y24" s="354"/>
      <c r="Z24" s="354"/>
      <c r="AA24" s="354"/>
      <c r="AB24" s="354"/>
      <c r="AC24" s="13"/>
      <c r="AD24" s="354"/>
      <c r="AE24" s="13"/>
      <c r="AF24" s="124">
        <f t="shared" si="2"/>
        <v>40.501323999999997</v>
      </c>
      <c r="AG24" s="356">
        <v>40.501323999999997</v>
      </c>
      <c r="AH24" s="354"/>
      <c r="AI24" s="354"/>
      <c r="AJ24" s="354"/>
      <c r="AK24" s="354"/>
      <c r="AL24" s="124">
        <f t="shared" si="1"/>
        <v>0</v>
      </c>
      <c r="AM24" s="354"/>
      <c r="AN24" s="354"/>
      <c r="AO24" s="354"/>
      <c r="AP24" s="354"/>
      <c r="AQ24" s="354"/>
      <c r="AR24" s="362">
        <f t="shared" si="4"/>
        <v>0</v>
      </c>
    </row>
    <row r="25" spans="1:44" ht="128.25" customHeight="1">
      <c r="A25" s="14"/>
      <c r="B25" s="14" t="s">
        <v>63</v>
      </c>
      <c r="C25" s="354">
        <v>7902677</v>
      </c>
      <c r="D25" s="14" t="s">
        <v>294</v>
      </c>
      <c r="E25" s="354" t="s">
        <v>325</v>
      </c>
      <c r="F25" s="313"/>
      <c r="G25" s="354"/>
      <c r="H25" s="354"/>
      <c r="I25" s="14" t="s">
        <v>308</v>
      </c>
      <c r="J25" s="14" t="s">
        <v>326</v>
      </c>
      <c r="K25" s="14">
        <v>2021</v>
      </c>
      <c r="L25" s="14">
        <v>2021</v>
      </c>
      <c r="M25" s="313" t="s">
        <v>324</v>
      </c>
      <c r="N25" s="356">
        <v>261.02304800000002</v>
      </c>
      <c r="O25" s="356">
        <v>151.534492</v>
      </c>
      <c r="P25" s="14">
        <v>2021</v>
      </c>
      <c r="Q25" s="356">
        <v>261.02304800000002</v>
      </c>
      <c r="R25" s="356">
        <f t="shared" si="3"/>
        <v>151.534492</v>
      </c>
      <c r="S25" s="356">
        <v>151.534492</v>
      </c>
      <c r="T25" s="354"/>
      <c r="U25" s="354"/>
      <c r="V25" s="354"/>
      <c r="W25" s="354"/>
      <c r="X25" s="124">
        <f t="shared" si="0"/>
        <v>0</v>
      </c>
      <c r="Y25" s="354"/>
      <c r="Z25" s="354"/>
      <c r="AA25" s="354"/>
      <c r="AB25" s="354"/>
      <c r="AC25" s="13"/>
      <c r="AD25" s="354"/>
      <c r="AE25" s="13"/>
      <c r="AF25" s="124">
        <f t="shared" si="2"/>
        <v>151.534492</v>
      </c>
      <c r="AG25" s="356">
        <v>151.534492</v>
      </c>
      <c r="AH25" s="354"/>
      <c r="AI25" s="354"/>
      <c r="AJ25" s="354"/>
      <c r="AK25" s="354"/>
      <c r="AL25" s="124">
        <f t="shared" si="1"/>
        <v>0</v>
      </c>
      <c r="AM25" s="354"/>
      <c r="AN25" s="354"/>
      <c r="AO25" s="354"/>
      <c r="AP25" s="354"/>
      <c r="AQ25" s="354"/>
      <c r="AR25" s="362">
        <f t="shared" si="4"/>
        <v>0</v>
      </c>
    </row>
    <row r="26" spans="1:44" ht="128.25" customHeight="1">
      <c r="A26" s="14"/>
      <c r="B26" s="14" t="s">
        <v>63</v>
      </c>
      <c r="C26" s="354">
        <v>7902681</v>
      </c>
      <c r="D26" s="14" t="s">
        <v>294</v>
      </c>
      <c r="E26" s="354" t="s">
        <v>327</v>
      </c>
      <c r="F26" s="313"/>
      <c r="G26" s="354"/>
      <c r="H26" s="354"/>
      <c r="I26" s="14" t="s">
        <v>308</v>
      </c>
      <c r="J26" s="14" t="s">
        <v>328</v>
      </c>
      <c r="K26" s="14">
        <v>2021</v>
      </c>
      <c r="L26" s="14">
        <v>2021</v>
      </c>
      <c r="M26" s="313" t="s">
        <v>329</v>
      </c>
      <c r="N26" s="356">
        <v>348.50631199999998</v>
      </c>
      <c r="O26" s="356">
        <v>202.52157099999999</v>
      </c>
      <c r="P26" s="14">
        <v>2021</v>
      </c>
      <c r="Q26" s="356">
        <v>348.50631199999998</v>
      </c>
      <c r="R26" s="356">
        <f t="shared" si="3"/>
        <v>202.52157099999999</v>
      </c>
      <c r="S26" s="356">
        <v>202.52157099999999</v>
      </c>
      <c r="T26" s="354"/>
      <c r="U26" s="354"/>
      <c r="V26" s="354"/>
      <c r="W26" s="354"/>
      <c r="X26" s="124">
        <f t="shared" si="0"/>
        <v>0</v>
      </c>
      <c r="Y26" s="354"/>
      <c r="Z26" s="354"/>
      <c r="AA26" s="354"/>
      <c r="AB26" s="354"/>
      <c r="AC26" s="13"/>
      <c r="AD26" s="354"/>
      <c r="AE26" s="13"/>
      <c r="AF26" s="124">
        <f t="shared" si="2"/>
        <v>202.52157099999999</v>
      </c>
      <c r="AG26" s="356">
        <v>202.52157099999999</v>
      </c>
      <c r="AH26" s="354"/>
      <c r="AI26" s="354"/>
      <c r="AJ26" s="354"/>
      <c r="AK26" s="354"/>
      <c r="AL26" s="124">
        <f t="shared" si="1"/>
        <v>0</v>
      </c>
      <c r="AM26" s="354"/>
      <c r="AN26" s="354"/>
      <c r="AO26" s="354"/>
      <c r="AP26" s="354"/>
      <c r="AQ26" s="354"/>
      <c r="AR26" s="362">
        <f t="shared" si="4"/>
        <v>0</v>
      </c>
    </row>
    <row r="27" spans="1:44" ht="128.25" customHeight="1">
      <c r="A27" s="14"/>
      <c r="B27" s="14" t="s">
        <v>63</v>
      </c>
      <c r="C27" s="354">
        <v>7903634</v>
      </c>
      <c r="D27" s="14" t="s">
        <v>294</v>
      </c>
      <c r="E27" s="354" t="s">
        <v>330</v>
      </c>
      <c r="F27" s="313"/>
      <c r="G27" s="354"/>
      <c r="H27" s="354"/>
      <c r="I27" s="14" t="s">
        <v>308</v>
      </c>
      <c r="J27" s="14" t="s">
        <v>318</v>
      </c>
      <c r="K27" s="14">
        <v>2021</v>
      </c>
      <c r="L27" s="14">
        <v>2021</v>
      </c>
      <c r="M27" s="313" t="s">
        <v>331</v>
      </c>
      <c r="N27" s="356">
        <v>87.204143000000002</v>
      </c>
      <c r="O27" s="356">
        <v>50.707957</v>
      </c>
      <c r="P27" s="14">
        <v>2021</v>
      </c>
      <c r="Q27" s="356">
        <v>87.204143000000002</v>
      </c>
      <c r="R27" s="356">
        <f t="shared" si="3"/>
        <v>50.707957</v>
      </c>
      <c r="S27" s="356">
        <v>50.707957</v>
      </c>
      <c r="T27" s="354"/>
      <c r="U27" s="354"/>
      <c r="V27" s="354"/>
      <c r="W27" s="354"/>
      <c r="X27" s="124">
        <f t="shared" si="0"/>
        <v>50.707957</v>
      </c>
      <c r="Y27" s="356">
        <v>50.707957</v>
      </c>
      <c r="Z27" s="354"/>
      <c r="AA27" s="354"/>
      <c r="AB27" s="354"/>
      <c r="AC27" s="13"/>
      <c r="AD27" s="354"/>
      <c r="AE27" s="13"/>
      <c r="AF27" s="124">
        <f t="shared" si="2"/>
        <v>0</v>
      </c>
      <c r="AG27" s="356">
        <v>0</v>
      </c>
      <c r="AH27" s="354"/>
      <c r="AI27" s="354"/>
      <c r="AJ27" s="354"/>
      <c r="AK27" s="354"/>
      <c r="AL27" s="124">
        <f t="shared" si="1"/>
        <v>50.707957</v>
      </c>
      <c r="AM27" s="356">
        <v>50.707957</v>
      </c>
      <c r="AN27" s="354"/>
      <c r="AO27" s="354"/>
      <c r="AP27" s="354"/>
      <c r="AQ27" s="354"/>
      <c r="AR27" s="362">
        <f t="shared" si="4"/>
        <v>0</v>
      </c>
    </row>
    <row r="28" spans="1:44" ht="128.25" customHeight="1">
      <c r="A28" s="14"/>
      <c r="B28" s="14" t="s">
        <v>63</v>
      </c>
      <c r="C28" s="354">
        <v>7914308</v>
      </c>
      <c r="D28" s="14" t="s">
        <v>294</v>
      </c>
      <c r="E28" s="354" t="s">
        <v>332</v>
      </c>
      <c r="F28" s="313"/>
      <c r="G28" s="354"/>
      <c r="H28" s="354"/>
      <c r="I28" s="14" t="s">
        <v>308</v>
      </c>
      <c r="J28" s="14" t="s">
        <v>333</v>
      </c>
      <c r="K28" s="14">
        <v>2021</v>
      </c>
      <c r="L28" s="14">
        <v>2021</v>
      </c>
      <c r="M28" s="313" t="s">
        <v>334</v>
      </c>
      <c r="N28" s="356">
        <v>1570.1289670000001</v>
      </c>
      <c r="O28" s="356">
        <v>982.36012300000004</v>
      </c>
      <c r="P28" s="14">
        <v>2021</v>
      </c>
      <c r="Q28" s="356">
        <v>1570.1289670000001</v>
      </c>
      <c r="R28" s="356">
        <f t="shared" si="3"/>
        <v>982.36012300000004</v>
      </c>
      <c r="S28" s="356">
        <v>982.36012300000004</v>
      </c>
      <c r="T28" s="354"/>
      <c r="U28" s="354"/>
      <c r="V28" s="354"/>
      <c r="W28" s="354"/>
      <c r="X28" s="124">
        <f t="shared" si="0"/>
        <v>53</v>
      </c>
      <c r="Y28" s="356">
        <v>53</v>
      </c>
      <c r="Z28" s="354"/>
      <c r="AA28" s="354"/>
      <c r="AB28" s="354"/>
      <c r="AC28" s="13"/>
      <c r="AD28" s="354"/>
      <c r="AE28" s="13"/>
      <c r="AF28" s="124">
        <f t="shared" si="2"/>
        <v>929.36012300000004</v>
      </c>
      <c r="AG28" s="356">
        <f>982.360123-53</f>
        <v>929.36012300000004</v>
      </c>
      <c r="AH28" s="354"/>
      <c r="AI28" s="354"/>
      <c r="AJ28" s="354"/>
      <c r="AK28" s="354"/>
      <c r="AL28" s="124">
        <f t="shared" si="1"/>
        <v>53</v>
      </c>
      <c r="AM28" s="356">
        <v>53</v>
      </c>
      <c r="AN28" s="354"/>
      <c r="AO28" s="354"/>
      <c r="AP28" s="354"/>
      <c r="AQ28" s="354"/>
      <c r="AR28" s="362">
        <f t="shared" si="4"/>
        <v>0</v>
      </c>
    </row>
    <row r="29" spans="1:44" ht="128.25" customHeight="1">
      <c r="A29" s="14"/>
      <c r="B29" s="14" t="s">
        <v>63</v>
      </c>
      <c r="C29" s="354">
        <v>7914306</v>
      </c>
      <c r="D29" s="14" t="s">
        <v>294</v>
      </c>
      <c r="E29" s="354" t="s">
        <v>335</v>
      </c>
      <c r="F29" s="313"/>
      <c r="G29" s="354"/>
      <c r="H29" s="354"/>
      <c r="I29" s="14" t="s">
        <v>308</v>
      </c>
      <c r="J29" s="14" t="s">
        <v>336</v>
      </c>
      <c r="K29" s="14">
        <v>2021</v>
      </c>
      <c r="L29" s="14">
        <v>2021</v>
      </c>
      <c r="M29" s="313" t="s">
        <v>337</v>
      </c>
      <c r="N29" s="356">
        <v>829.10151699999994</v>
      </c>
      <c r="O29" s="356">
        <v>519.36240499999997</v>
      </c>
      <c r="P29" s="14">
        <v>2021</v>
      </c>
      <c r="Q29" s="356">
        <v>829.10151699999994</v>
      </c>
      <c r="R29" s="356">
        <f t="shared" si="3"/>
        <v>519.36240499999997</v>
      </c>
      <c r="S29" s="356">
        <v>519.36240499999997</v>
      </c>
      <c r="T29" s="354"/>
      <c r="U29" s="354"/>
      <c r="V29" s="354"/>
      <c r="W29" s="354"/>
      <c r="X29" s="124">
        <f t="shared" si="0"/>
        <v>0</v>
      </c>
      <c r="Y29" s="354"/>
      <c r="Z29" s="354"/>
      <c r="AA29" s="354"/>
      <c r="AB29" s="354"/>
      <c r="AC29" s="13"/>
      <c r="AD29" s="354"/>
      <c r="AE29" s="13"/>
      <c r="AF29" s="124">
        <f t="shared" si="2"/>
        <v>519.36240499999997</v>
      </c>
      <c r="AG29" s="356">
        <v>519.36240499999997</v>
      </c>
      <c r="AH29" s="354"/>
      <c r="AI29" s="354"/>
      <c r="AJ29" s="354"/>
      <c r="AK29" s="354"/>
      <c r="AL29" s="124">
        <f t="shared" si="1"/>
        <v>0</v>
      </c>
      <c r="AM29" s="354"/>
      <c r="AN29" s="354"/>
      <c r="AO29" s="354"/>
      <c r="AP29" s="354"/>
      <c r="AQ29" s="354"/>
      <c r="AR29" s="362">
        <f t="shared" si="4"/>
        <v>0</v>
      </c>
    </row>
    <row r="30" spans="1:44" ht="128.25" customHeight="1">
      <c r="A30" s="14"/>
      <c r="B30" s="14" t="s">
        <v>63</v>
      </c>
      <c r="C30" s="354">
        <v>7914318</v>
      </c>
      <c r="D30" s="14" t="s">
        <v>294</v>
      </c>
      <c r="E30" s="354" t="s">
        <v>338</v>
      </c>
      <c r="F30" s="313"/>
      <c r="G30" s="354"/>
      <c r="H30" s="354"/>
      <c r="I30" s="14" t="s">
        <v>308</v>
      </c>
      <c r="J30" s="14" t="s">
        <v>339</v>
      </c>
      <c r="K30" s="14">
        <v>2021</v>
      </c>
      <c r="L30" s="14">
        <v>2021</v>
      </c>
      <c r="M30" s="313" t="s">
        <v>340</v>
      </c>
      <c r="N30" s="356">
        <v>740.57157099999995</v>
      </c>
      <c r="O30" s="356">
        <v>462.54183899999998</v>
      </c>
      <c r="P30" s="14">
        <v>2021</v>
      </c>
      <c r="Q30" s="356">
        <v>740.57157099999995</v>
      </c>
      <c r="R30" s="356">
        <f t="shared" si="3"/>
        <v>462.54183899999998</v>
      </c>
      <c r="S30" s="356">
        <v>462.54183899999998</v>
      </c>
      <c r="T30" s="354"/>
      <c r="U30" s="354"/>
      <c r="V30" s="354"/>
      <c r="W30" s="354"/>
      <c r="X30" s="124">
        <f t="shared" si="0"/>
        <v>0</v>
      </c>
      <c r="Y30" s="354"/>
      <c r="Z30" s="354"/>
      <c r="AA30" s="354"/>
      <c r="AB30" s="354"/>
      <c r="AC30" s="13"/>
      <c r="AD30" s="354"/>
      <c r="AE30" s="13"/>
      <c r="AF30" s="124">
        <f t="shared" si="2"/>
        <v>462.54183899999998</v>
      </c>
      <c r="AG30" s="356">
        <v>462.54183899999998</v>
      </c>
      <c r="AH30" s="354"/>
      <c r="AI30" s="354"/>
      <c r="AJ30" s="354"/>
      <c r="AK30" s="354"/>
      <c r="AL30" s="124">
        <f t="shared" si="1"/>
        <v>0</v>
      </c>
      <c r="AM30" s="354"/>
      <c r="AN30" s="354"/>
      <c r="AO30" s="354"/>
      <c r="AP30" s="354"/>
      <c r="AQ30" s="354"/>
      <c r="AR30" s="362">
        <f t="shared" si="4"/>
        <v>0</v>
      </c>
    </row>
    <row r="31" spans="1:44" ht="128.25" customHeight="1">
      <c r="A31" s="14"/>
      <c r="B31" s="14" t="s">
        <v>63</v>
      </c>
      <c r="C31" s="354">
        <v>7914309</v>
      </c>
      <c r="D31" s="14" t="s">
        <v>294</v>
      </c>
      <c r="E31" s="354" t="s">
        <v>341</v>
      </c>
      <c r="F31" s="313"/>
      <c r="G31" s="354"/>
      <c r="H31" s="354"/>
      <c r="I31" s="14" t="s">
        <v>308</v>
      </c>
      <c r="J31" s="14" t="s">
        <v>342</v>
      </c>
      <c r="K31" s="14">
        <v>2021</v>
      </c>
      <c r="L31" s="14">
        <v>2021</v>
      </c>
      <c r="M31" s="313" t="s">
        <v>343</v>
      </c>
      <c r="N31" s="356">
        <v>505.33118999999999</v>
      </c>
      <c r="O31" s="356">
        <v>315.616784</v>
      </c>
      <c r="P31" s="14">
        <v>2021</v>
      </c>
      <c r="Q31" s="356">
        <v>505.33118999999999</v>
      </c>
      <c r="R31" s="356">
        <f t="shared" si="3"/>
        <v>315.616784</v>
      </c>
      <c r="S31" s="356">
        <v>315.616784</v>
      </c>
      <c r="T31" s="354"/>
      <c r="U31" s="354"/>
      <c r="V31" s="354"/>
      <c r="W31" s="354"/>
      <c r="X31" s="124">
        <f t="shared" si="0"/>
        <v>0</v>
      </c>
      <c r="Y31" s="354"/>
      <c r="Z31" s="354"/>
      <c r="AA31" s="354"/>
      <c r="AB31" s="354"/>
      <c r="AC31" s="13"/>
      <c r="AD31" s="354"/>
      <c r="AE31" s="13"/>
      <c r="AF31" s="124">
        <f t="shared" si="2"/>
        <v>315.616784</v>
      </c>
      <c r="AG31" s="356">
        <v>315.616784</v>
      </c>
      <c r="AH31" s="354"/>
      <c r="AI31" s="354"/>
      <c r="AJ31" s="354"/>
      <c r="AK31" s="354"/>
      <c r="AL31" s="124">
        <f t="shared" si="1"/>
        <v>0</v>
      </c>
      <c r="AM31" s="354"/>
      <c r="AN31" s="354"/>
      <c r="AO31" s="354"/>
      <c r="AP31" s="354"/>
      <c r="AQ31" s="354"/>
      <c r="AR31" s="362">
        <f t="shared" si="4"/>
        <v>0</v>
      </c>
    </row>
    <row r="32" spans="1:44" ht="128.25" customHeight="1">
      <c r="A32" s="14"/>
      <c r="B32" s="14" t="s">
        <v>63</v>
      </c>
      <c r="C32" s="354">
        <v>7914305</v>
      </c>
      <c r="D32" s="14" t="s">
        <v>294</v>
      </c>
      <c r="E32" s="354" t="s">
        <v>344</v>
      </c>
      <c r="F32" s="313"/>
      <c r="G32" s="354"/>
      <c r="H32" s="354"/>
      <c r="I32" s="14" t="s">
        <v>308</v>
      </c>
      <c r="J32" s="14" t="s">
        <v>345</v>
      </c>
      <c r="K32" s="14">
        <v>2021</v>
      </c>
      <c r="L32" s="14">
        <v>2021</v>
      </c>
      <c r="M32" s="313" t="s">
        <v>346</v>
      </c>
      <c r="N32" s="356">
        <v>566.31943699999999</v>
      </c>
      <c r="O32" s="356">
        <v>353.70846599999999</v>
      </c>
      <c r="P32" s="14">
        <v>2021</v>
      </c>
      <c r="Q32" s="356">
        <v>566.31943699999999</v>
      </c>
      <c r="R32" s="356">
        <f t="shared" si="3"/>
        <v>353.70846599999999</v>
      </c>
      <c r="S32" s="356">
        <v>353.70846599999999</v>
      </c>
      <c r="T32" s="354"/>
      <c r="U32" s="354"/>
      <c r="V32" s="354"/>
      <c r="W32" s="354"/>
      <c r="X32" s="124">
        <f t="shared" si="0"/>
        <v>18</v>
      </c>
      <c r="Y32" s="356">
        <v>18</v>
      </c>
      <c r="Z32" s="354"/>
      <c r="AA32" s="354"/>
      <c r="AB32" s="354"/>
      <c r="AC32" s="13"/>
      <c r="AD32" s="354"/>
      <c r="AE32" s="13"/>
      <c r="AF32" s="124">
        <f t="shared" si="2"/>
        <v>335.70846599999999</v>
      </c>
      <c r="AG32" s="356">
        <f>353.708466-18</f>
        <v>335.70846599999999</v>
      </c>
      <c r="AH32" s="354"/>
      <c r="AI32" s="354"/>
      <c r="AJ32" s="354"/>
      <c r="AK32" s="354"/>
      <c r="AL32" s="124">
        <f t="shared" si="1"/>
        <v>18</v>
      </c>
      <c r="AM32" s="356">
        <v>18</v>
      </c>
      <c r="AN32" s="354"/>
      <c r="AO32" s="354"/>
      <c r="AP32" s="354"/>
      <c r="AQ32" s="354"/>
      <c r="AR32" s="362">
        <f t="shared" si="4"/>
        <v>0</v>
      </c>
    </row>
    <row r="33" spans="1:44" ht="128.25" customHeight="1">
      <c r="A33" s="14"/>
      <c r="B33" s="14" t="s">
        <v>63</v>
      </c>
      <c r="C33" s="354">
        <v>7914307</v>
      </c>
      <c r="D33" s="14" t="s">
        <v>294</v>
      </c>
      <c r="E33" s="354" t="s">
        <v>347</v>
      </c>
      <c r="F33" s="313"/>
      <c r="G33" s="354"/>
      <c r="H33" s="354"/>
      <c r="I33" s="14" t="s">
        <v>308</v>
      </c>
      <c r="J33" s="14" t="s">
        <v>333</v>
      </c>
      <c r="K33" s="14">
        <v>2021</v>
      </c>
      <c r="L33" s="14">
        <v>2021</v>
      </c>
      <c r="M33" s="313" t="s">
        <v>348</v>
      </c>
      <c r="N33" s="356">
        <v>1568.2689</v>
      </c>
      <c r="O33" s="356">
        <v>979.50005599999997</v>
      </c>
      <c r="P33" s="14">
        <v>2021</v>
      </c>
      <c r="Q33" s="356">
        <v>1568.2689</v>
      </c>
      <c r="R33" s="356">
        <f t="shared" si="3"/>
        <v>979.50005599999997</v>
      </c>
      <c r="S33" s="356">
        <v>979.50005599999997</v>
      </c>
      <c r="T33" s="354"/>
      <c r="U33" s="354"/>
      <c r="V33" s="354"/>
      <c r="W33" s="354"/>
      <c r="X33" s="124">
        <f t="shared" si="0"/>
        <v>51</v>
      </c>
      <c r="Y33" s="356">
        <v>51</v>
      </c>
      <c r="Z33" s="354"/>
      <c r="AA33" s="354"/>
      <c r="AB33" s="354"/>
      <c r="AC33" s="13"/>
      <c r="AD33" s="354"/>
      <c r="AE33" s="13"/>
      <c r="AF33" s="124">
        <f t="shared" si="2"/>
        <v>928.50005599999997</v>
      </c>
      <c r="AG33" s="356">
        <f>979.500056-51</f>
        <v>928.50005599999997</v>
      </c>
      <c r="AH33" s="354"/>
      <c r="AI33" s="354"/>
      <c r="AJ33" s="354"/>
      <c r="AK33" s="354"/>
      <c r="AL33" s="124">
        <f t="shared" si="1"/>
        <v>51</v>
      </c>
      <c r="AM33" s="356">
        <v>51</v>
      </c>
      <c r="AN33" s="354"/>
      <c r="AO33" s="354"/>
      <c r="AP33" s="354"/>
      <c r="AQ33" s="354"/>
      <c r="AR33" s="362">
        <f t="shared" si="4"/>
        <v>0</v>
      </c>
    </row>
    <row r="34" spans="1:44" ht="128.25" customHeight="1">
      <c r="A34" s="14"/>
      <c r="B34" s="14" t="s">
        <v>63</v>
      </c>
      <c r="C34" s="354">
        <v>7929280</v>
      </c>
      <c r="D34" s="14" t="s">
        <v>294</v>
      </c>
      <c r="E34" s="354" t="s">
        <v>349</v>
      </c>
      <c r="F34" s="313"/>
      <c r="G34" s="354"/>
      <c r="H34" s="354"/>
      <c r="I34" s="14" t="s">
        <v>350</v>
      </c>
      <c r="J34" s="14" t="s">
        <v>351</v>
      </c>
      <c r="K34" s="14">
        <v>2021</v>
      </c>
      <c r="L34" s="14">
        <v>2021</v>
      </c>
      <c r="M34" s="313" t="s">
        <v>352</v>
      </c>
      <c r="N34" s="356">
        <v>130.960002</v>
      </c>
      <c r="O34" s="356">
        <v>80.976398000000003</v>
      </c>
      <c r="P34" s="14">
        <v>2021</v>
      </c>
      <c r="Q34" s="356">
        <v>130.960002</v>
      </c>
      <c r="R34" s="356">
        <f t="shared" si="3"/>
        <v>80.976398000000003</v>
      </c>
      <c r="S34" s="356">
        <v>80.976398000000003</v>
      </c>
      <c r="T34" s="354"/>
      <c r="U34" s="354"/>
      <c r="V34" s="354"/>
      <c r="W34" s="354"/>
      <c r="X34" s="13"/>
      <c r="Y34" s="354"/>
      <c r="Z34" s="354"/>
      <c r="AA34" s="354"/>
      <c r="AB34" s="354"/>
      <c r="AC34" s="13"/>
      <c r="AD34" s="354"/>
      <c r="AE34" s="13"/>
      <c r="AF34" s="124">
        <f t="shared" si="2"/>
        <v>80.976398000000003</v>
      </c>
      <c r="AG34" s="356">
        <v>80.976398000000003</v>
      </c>
      <c r="AH34" s="354"/>
      <c r="AI34" s="354"/>
      <c r="AJ34" s="354"/>
      <c r="AK34" s="354"/>
      <c r="AL34" s="13"/>
      <c r="AM34" s="354"/>
      <c r="AN34" s="354"/>
      <c r="AO34" s="354"/>
      <c r="AP34" s="354"/>
      <c r="AQ34" s="354"/>
      <c r="AR34" s="362">
        <f t="shared" si="4"/>
        <v>0</v>
      </c>
    </row>
    <row r="35" spans="1:44" ht="128.25" customHeight="1">
      <c r="A35" s="14"/>
      <c r="B35" s="14" t="s">
        <v>63</v>
      </c>
      <c r="C35" s="354">
        <v>7928511</v>
      </c>
      <c r="D35" s="14" t="s">
        <v>294</v>
      </c>
      <c r="E35" s="354" t="s">
        <v>353</v>
      </c>
      <c r="F35" s="313"/>
      <c r="G35" s="354"/>
      <c r="H35" s="354"/>
      <c r="I35" s="14" t="s">
        <v>350</v>
      </c>
      <c r="J35" s="14" t="s">
        <v>354</v>
      </c>
      <c r="K35" s="14">
        <v>2021</v>
      </c>
      <c r="L35" s="14">
        <v>2021</v>
      </c>
      <c r="M35" s="313" t="s">
        <v>355</v>
      </c>
      <c r="N35" s="356">
        <v>611.75053000000003</v>
      </c>
      <c r="O35" s="356">
        <v>379.49371000000002</v>
      </c>
      <c r="P35" s="14">
        <v>2021</v>
      </c>
      <c r="Q35" s="356">
        <v>611.75053000000003</v>
      </c>
      <c r="R35" s="356">
        <f t="shared" si="3"/>
        <v>379.49371000000002</v>
      </c>
      <c r="S35" s="356">
        <v>379.49371000000002</v>
      </c>
      <c r="T35" s="354"/>
      <c r="U35" s="354"/>
      <c r="V35" s="354"/>
      <c r="W35" s="354"/>
      <c r="X35" s="13"/>
      <c r="Y35" s="354"/>
      <c r="Z35" s="354"/>
      <c r="AA35" s="354"/>
      <c r="AB35" s="354"/>
      <c r="AC35" s="13"/>
      <c r="AD35" s="354"/>
      <c r="AE35" s="13"/>
      <c r="AF35" s="124">
        <f t="shared" si="2"/>
        <v>379.49371000000002</v>
      </c>
      <c r="AG35" s="356">
        <v>379.49371000000002</v>
      </c>
      <c r="AH35" s="354"/>
      <c r="AI35" s="354"/>
      <c r="AJ35" s="354"/>
      <c r="AK35" s="354"/>
      <c r="AL35" s="13"/>
      <c r="AM35" s="354"/>
      <c r="AN35" s="354"/>
      <c r="AO35" s="354"/>
      <c r="AP35" s="354"/>
      <c r="AQ35" s="354"/>
      <c r="AR35" s="362">
        <f t="shared" si="4"/>
        <v>0</v>
      </c>
    </row>
    <row r="36" spans="1:44" ht="128.25" customHeight="1">
      <c r="A36" s="14"/>
      <c r="B36" s="14" t="s">
        <v>63</v>
      </c>
      <c r="C36" s="354">
        <v>7928512</v>
      </c>
      <c r="D36" s="14" t="s">
        <v>294</v>
      </c>
      <c r="E36" s="354" t="s">
        <v>356</v>
      </c>
      <c r="F36" s="313"/>
      <c r="G36" s="354"/>
      <c r="H36" s="354"/>
      <c r="I36" s="14" t="s">
        <v>350</v>
      </c>
      <c r="J36" s="14" t="s">
        <v>345</v>
      </c>
      <c r="K36" s="14">
        <v>2021</v>
      </c>
      <c r="L36" s="14">
        <v>2021</v>
      </c>
      <c r="M36" s="313" t="s">
        <v>357</v>
      </c>
      <c r="N36" s="356">
        <v>567.98265300000003</v>
      </c>
      <c r="O36" s="356">
        <v>352.38703400000003</v>
      </c>
      <c r="P36" s="14">
        <v>2021</v>
      </c>
      <c r="Q36" s="356">
        <v>567.98265300000003</v>
      </c>
      <c r="R36" s="356">
        <f t="shared" si="3"/>
        <v>352.38703400000003</v>
      </c>
      <c r="S36" s="356">
        <v>352.38703400000003</v>
      </c>
      <c r="T36" s="354"/>
      <c r="U36" s="354"/>
      <c r="V36" s="354"/>
      <c r="W36" s="354"/>
      <c r="X36" s="13"/>
      <c r="Y36" s="354"/>
      <c r="Z36" s="354"/>
      <c r="AA36" s="354"/>
      <c r="AB36" s="354"/>
      <c r="AC36" s="13"/>
      <c r="AD36" s="354"/>
      <c r="AE36" s="13"/>
      <c r="AF36" s="124">
        <f t="shared" si="2"/>
        <v>352.38703400000003</v>
      </c>
      <c r="AG36" s="356">
        <v>352.38703400000003</v>
      </c>
      <c r="AH36" s="354"/>
      <c r="AI36" s="354"/>
      <c r="AJ36" s="354"/>
      <c r="AK36" s="354"/>
      <c r="AL36" s="13"/>
      <c r="AM36" s="354"/>
      <c r="AN36" s="354"/>
      <c r="AO36" s="354"/>
      <c r="AP36" s="354"/>
      <c r="AQ36" s="354"/>
      <c r="AR36" s="362">
        <f t="shared" si="4"/>
        <v>0</v>
      </c>
    </row>
    <row r="37" spans="1:44" ht="128.25" customHeight="1">
      <c r="A37" s="14"/>
      <c r="B37" s="14" t="s">
        <v>63</v>
      </c>
      <c r="C37" s="354">
        <v>7966301</v>
      </c>
      <c r="D37" s="14" t="s">
        <v>358</v>
      </c>
      <c r="E37" s="354" t="s">
        <v>359</v>
      </c>
      <c r="F37" s="313"/>
      <c r="G37" s="354"/>
      <c r="H37" s="354"/>
      <c r="I37" s="14" t="s">
        <v>166</v>
      </c>
      <c r="J37" s="14" t="s">
        <v>360</v>
      </c>
      <c r="K37" s="14">
        <v>2022</v>
      </c>
      <c r="L37" s="14">
        <v>2022</v>
      </c>
      <c r="M37" s="313" t="s">
        <v>361</v>
      </c>
      <c r="N37" s="356">
        <v>1021.5716210000001</v>
      </c>
      <c r="O37" s="356">
        <v>891.95345199999997</v>
      </c>
      <c r="P37" s="14">
        <v>2022</v>
      </c>
      <c r="Q37" s="356">
        <v>1021.5716210000001</v>
      </c>
      <c r="R37" s="356">
        <f t="shared" si="3"/>
        <v>891.95345199999997</v>
      </c>
      <c r="S37" s="359"/>
      <c r="T37" s="356">
        <v>891.95345199999997</v>
      </c>
      <c r="U37" s="354"/>
      <c r="V37" s="354"/>
      <c r="W37" s="354"/>
      <c r="X37" s="13"/>
      <c r="Y37" s="354"/>
      <c r="Z37" s="354"/>
      <c r="AA37" s="354"/>
      <c r="AB37" s="354"/>
      <c r="AC37" s="13"/>
      <c r="AD37" s="354"/>
      <c r="AE37" s="13"/>
      <c r="AF37" s="124">
        <f t="shared" si="2"/>
        <v>891.95345199999997</v>
      </c>
      <c r="AG37" s="359"/>
      <c r="AH37" s="356">
        <v>891.95345199999997</v>
      </c>
      <c r="AI37" s="354"/>
      <c r="AJ37" s="354"/>
      <c r="AK37" s="354"/>
      <c r="AL37" s="13"/>
      <c r="AM37" s="354"/>
      <c r="AN37" s="354"/>
      <c r="AO37" s="354"/>
      <c r="AP37" s="354"/>
      <c r="AQ37" s="354"/>
      <c r="AR37" s="362">
        <f t="shared" si="4"/>
        <v>0</v>
      </c>
    </row>
    <row r="38" spans="1:44" ht="128.25" customHeight="1">
      <c r="A38" s="14"/>
      <c r="B38" s="14" t="s">
        <v>63</v>
      </c>
      <c r="C38" s="354">
        <v>7966449</v>
      </c>
      <c r="D38" s="14" t="s">
        <v>358</v>
      </c>
      <c r="E38" s="354" t="s">
        <v>362</v>
      </c>
      <c r="F38" s="313"/>
      <c r="G38" s="354"/>
      <c r="H38" s="354"/>
      <c r="I38" s="14" t="s">
        <v>166</v>
      </c>
      <c r="J38" s="14" t="s">
        <v>363</v>
      </c>
      <c r="K38" s="14">
        <v>2022</v>
      </c>
      <c r="L38" s="14">
        <v>2022</v>
      </c>
      <c r="M38" s="313" t="s">
        <v>364</v>
      </c>
      <c r="N38" s="356">
        <v>1922.2764520000001</v>
      </c>
      <c r="O38" s="356">
        <v>1678.371296</v>
      </c>
      <c r="P38" s="14">
        <v>2022</v>
      </c>
      <c r="Q38" s="356">
        <v>1922.2764520000001</v>
      </c>
      <c r="R38" s="356">
        <f t="shared" si="3"/>
        <v>1678.371296</v>
      </c>
      <c r="S38" s="359"/>
      <c r="T38" s="356">
        <v>1678.371296</v>
      </c>
      <c r="U38" s="354"/>
      <c r="V38" s="354"/>
      <c r="W38" s="354"/>
      <c r="X38" s="13"/>
      <c r="Y38" s="354"/>
      <c r="Z38" s="354"/>
      <c r="AA38" s="354"/>
      <c r="AB38" s="354"/>
      <c r="AC38" s="13"/>
      <c r="AD38" s="354"/>
      <c r="AE38" s="13"/>
      <c r="AF38" s="124">
        <f t="shared" si="2"/>
        <v>1678.371296</v>
      </c>
      <c r="AG38" s="359"/>
      <c r="AH38" s="356">
        <v>1678.371296</v>
      </c>
      <c r="AI38" s="354"/>
      <c r="AJ38" s="354"/>
      <c r="AK38" s="354"/>
      <c r="AL38" s="13"/>
      <c r="AM38" s="354"/>
      <c r="AN38" s="354"/>
      <c r="AO38" s="354"/>
      <c r="AP38" s="354"/>
      <c r="AQ38" s="354"/>
      <c r="AR38" s="362">
        <f t="shared" si="4"/>
        <v>0</v>
      </c>
    </row>
    <row r="39" spans="1:44" ht="128.25" customHeight="1">
      <c r="A39" s="14"/>
      <c r="B39" s="14" t="s">
        <v>63</v>
      </c>
      <c r="C39" s="354">
        <v>7966783</v>
      </c>
      <c r="D39" s="14" t="s">
        <v>358</v>
      </c>
      <c r="E39" s="354" t="s">
        <v>365</v>
      </c>
      <c r="F39" s="313"/>
      <c r="G39" s="354"/>
      <c r="H39" s="354"/>
      <c r="I39" s="14" t="s">
        <v>166</v>
      </c>
      <c r="J39" s="14" t="s">
        <v>363</v>
      </c>
      <c r="K39" s="14">
        <v>2022</v>
      </c>
      <c r="L39" s="14">
        <v>2022</v>
      </c>
      <c r="M39" s="313" t="s">
        <v>366</v>
      </c>
      <c r="N39" s="356">
        <v>1922.2764520000001</v>
      </c>
      <c r="O39" s="356">
        <v>1678.371296</v>
      </c>
      <c r="P39" s="14">
        <v>2022</v>
      </c>
      <c r="Q39" s="356">
        <v>1922.2764520000001</v>
      </c>
      <c r="R39" s="356">
        <f t="shared" si="3"/>
        <v>1678.371296</v>
      </c>
      <c r="S39" s="359"/>
      <c r="T39" s="356">
        <v>1678.371296</v>
      </c>
      <c r="U39" s="354"/>
      <c r="V39" s="354"/>
      <c r="W39" s="354"/>
      <c r="X39" s="13"/>
      <c r="Y39" s="354"/>
      <c r="Z39" s="354"/>
      <c r="AA39" s="354"/>
      <c r="AB39" s="354"/>
      <c r="AC39" s="13"/>
      <c r="AD39" s="354"/>
      <c r="AE39" s="13"/>
      <c r="AF39" s="124">
        <f t="shared" si="2"/>
        <v>1678.371296</v>
      </c>
      <c r="AG39" s="359"/>
      <c r="AH39" s="356">
        <v>1678.371296</v>
      </c>
      <c r="AI39" s="354"/>
      <c r="AJ39" s="354"/>
      <c r="AK39" s="354"/>
      <c r="AL39" s="13"/>
      <c r="AM39" s="354"/>
      <c r="AN39" s="354"/>
      <c r="AO39" s="354"/>
      <c r="AP39" s="354"/>
      <c r="AQ39" s="354"/>
      <c r="AR39" s="362">
        <f t="shared" si="4"/>
        <v>0</v>
      </c>
    </row>
    <row r="40" spans="1:44" ht="128.25" customHeight="1">
      <c r="A40" s="14"/>
      <c r="B40" s="14" t="s">
        <v>63</v>
      </c>
      <c r="C40" s="354">
        <v>7966300</v>
      </c>
      <c r="D40" s="14" t="s">
        <v>358</v>
      </c>
      <c r="E40" s="354" t="s">
        <v>367</v>
      </c>
      <c r="F40" s="313"/>
      <c r="G40" s="354"/>
      <c r="H40" s="354"/>
      <c r="I40" s="14" t="s">
        <v>166</v>
      </c>
      <c r="J40" s="14" t="s">
        <v>368</v>
      </c>
      <c r="K40" s="14">
        <v>2022</v>
      </c>
      <c r="L40" s="14">
        <v>2022</v>
      </c>
      <c r="M40" s="313" t="s">
        <v>369</v>
      </c>
      <c r="N40" s="356">
        <v>328.93234000000001</v>
      </c>
      <c r="O40" s="356">
        <v>280.15130900000003</v>
      </c>
      <c r="P40" s="14">
        <v>2022</v>
      </c>
      <c r="Q40" s="356">
        <v>328.93234000000001</v>
      </c>
      <c r="R40" s="356">
        <f t="shared" si="3"/>
        <v>280.15130900000003</v>
      </c>
      <c r="S40" s="359"/>
      <c r="T40" s="356">
        <v>280.15130900000003</v>
      </c>
      <c r="U40" s="354"/>
      <c r="V40" s="354"/>
      <c r="W40" s="354"/>
      <c r="X40" s="13"/>
      <c r="Y40" s="354"/>
      <c r="Z40" s="354"/>
      <c r="AA40" s="354"/>
      <c r="AB40" s="354"/>
      <c r="AC40" s="13"/>
      <c r="AD40" s="354"/>
      <c r="AE40" s="13"/>
      <c r="AF40" s="124">
        <f t="shared" si="2"/>
        <v>280.15130900000003</v>
      </c>
      <c r="AG40" s="359"/>
      <c r="AH40" s="356">
        <v>280.15130900000003</v>
      </c>
      <c r="AI40" s="354"/>
      <c r="AJ40" s="354"/>
      <c r="AK40" s="354"/>
      <c r="AL40" s="13"/>
      <c r="AM40" s="354"/>
      <c r="AN40" s="354"/>
      <c r="AO40" s="354"/>
      <c r="AP40" s="354"/>
      <c r="AQ40" s="354"/>
      <c r="AR40" s="362">
        <f t="shared" si="4"/>
        <v>0</v>
      </c>
    </row>
    <row r="41" spans="1:44" ht="128.25" customHeight="1">
      <c r="A41" s="14"/>
      <c r="B41" s="14" t="s">
        <v>63</v>
      </c>
      <c r="C41" s="354">
        <v>7974400</v>
      </c>
      <c r="D41" s="14" t="s">
        <v>358</v>
      </c>
      <c r="E41" s="354" t="s">
        <v>370</v>
      </c>
      <c r="F41" s="313"/>
      <c r="G41" s="354"/>
      <c r="H41" s="354"/>
      <c r="I41" s="14" t="s">
        <v>166</v>
      </c>
      <c r="J41" s="14" t="s">
        <v>371</v>
      </c>
      <c r="K41" s="14">
        <v>2022</v>
      </c>
      <c r="L41" s="14">
        <v>2022</v>
      </c>
      <c r="M41" s="313" t="s">
        <v>372</v>
      </c>
      <c r="N41" s="356">
        <v>138.78919500000001</v>
      </c>
      <c r="O41" s="356">
        <v>83.185739999999996</v>
      </c>
      <c r="P41" s="14">
        <v>2022</v>
      </c>
      <c r="Q41" s="356">
        <v>138.78919500000001</v>
      </c>
      <c r="R41" s="356">
        <f t="shared" si="3"/>
        <v>83.185739999999996</v>
      </c>
      <c r="S41" s="359"/>
      <c r="T41" s="356">
        <v>83.185739999999996</v>
      </c>
      <c r="U41" s="354"/>
      <c r="V41" s="354"/>
      <c r="W41" s="354"/>
      <c r="X41" s="13"/>
      <c r="Y41" s="354"/>
      <c r="Z41" s="354"/>
      <c r="AA41" s="354"/>
      <c r="AB41" s="354"/>
      <c r="AC41" s="13"/>
      <c r="AD41" s="354"/>
      <c r="AE41" s="13"/>
      <c r="AF41" s="124">
        <f t="shared" si="2"/>
        <v>83.185739999999996</v>
      </c>
      <c r="AG41" s="359"/>
      <c r="AH41" s="356">
        <v>83.185739999999996</v>
      </c>
      <c r="AI41" s="354"/>
      <c r="AJ41" s="354"/>
      <c r="AK41" s="354"/>
      <c r="AL41" s="13"/>
      <c r="AM41" s="354"/>
      <c r="AN41" s="354"/>
      <c r="AO41" s="354"/>
      <c r="AP41" s="354"/>
      <c r="AQ41" s="354"/>
      <c r="AR41" s="362">
        <f t="shared" si="4"/>
        <v>0</v>
      </c>
    </row>
    <row r="42" spans="1:44" ht="128.25" customHeight="1">
      <c r="A42" s="14"/>
      <c r="B42" s="14" t="s">
        <v>63</v>
      </c>
      <c r="C42" s="354">
        <v>7974401</v>
      </c>
      <c r="D42" s="14" t="s">
        <v>358</v>
      </c>
      <c r="E42" s="354" t="s">
        <v>373</v>
      </c>
      <c r="F42" s="313"/>
      <c r="G42" s="354"/>
      <c r="H42" s="354"/>
      <c r="I42" s="14" t="s">
        <v>166</v>
      </c>
      <c r="J42" s="14" t="s">
        <v>374</v>
      </c>
      <c r="K42" s="14">
        <v>2022</v>
      </c>
      <c r="L42" s="14">
        <v>2022</v>
      </c>
      <c r="M42" s="313" t="s">
        <v>375</v>
      </c>
      <c r="N42" s="356">
        <v>462.59491500000001</v>
      </c>
      <c r="O42" s="356">
        <v>277.25899800000002</v>
      </c>
      <c r="P42" s="14">
        <v>2022</v>
      </c>
      <c r="Q42" s="356">
        <v>462.59491500000001</v>
      </c>
      <c r="R42" s="356">
        <f t="shared" si="3"/>
        <v>277.25899800000002</v>
      </c>
      <c r="S42" s="359"/>
      <c r="T42" s="356">
        <v>277.25899800000002</v>
      </c>
      <c r="U42" s="354"/>
      <c r="V42" s="354"/>
      <c r="W42" s="354"/>
      <c r="X42" s="13"/>
      <c r="Y42" s="354"/>
      <c r="Z42" s="354"/>
      <c r="AA42" s="354"/>
      <c r="AB42" s="354"/>
      <c r="AC42" s="13"/>
      <c r="AD42" s="354"/>
      <c r="AE42" s="13"/>
      <c r="AF42" s="124">
        <f t="shared" si="2"/>
        <v>277.25899800000002</v>
      </c>
      <c r="AG42" s="359"/>
      <c r="AH42" s="356">
        <v>277.25899800000002</v>
      </c>
      <c r="AI42" s="354"/>
      <c r="AJ42" s="354"/>
      <c r="AK42" s="354"/>
      <c r="AL42" s="13"/>
      <c r="AM42" s="354"/>
      <c r="AN42" s="354"/>
      <c r="AO42" s="354"/>
      <c r="AP42" s="354"/>
      <c r="AQ42" s="354"/>
      <c r="AR42" s="362">
        <f t="shared" si="4"/>
        <v>0</v>
      </c>
    </row>
    <row r="43" spans="1:44" ht="128.25" customHeight="1">
      <c r="A43" s="14"/>
      <c r="B43" s="14" t="s">
        <v>63</v>
      </c>
      <c r="C43" s="354">
        <v>7974402</v>
      </c>
      <c r="D43" s="14" t="s">
        <v>358</v>
      </c>
      <c r="E43" s="354" t="s">
        <v>376</v>
      </c>
      <c r="F43" s="313"/>
      <c r="G43" s="354"/>
      <c r="H43" s="354"/>
      <c r="I43" s="14" t="s">
        <v>166</v>
      </c>
      <c r="J43" s="14" t="s">
        <v>377</v>
      </c>
      <c r="K43" s="14">
        <v>2022</v>
      </c>
      <c r="L43" s="14">
        <v>2022</v>
      </c>
      <c r="M43" s="313" t="s">
        <v>378</v>
      </c>
      <c r="N43" s="356">
        <v>3712.737212</v>
      </c>
      <c r="O43" s="356">
        <v>2313.467521</v>
      </c>
      <c r="P43" s="14">
        <v>2022</v>
      </c>
      <c r="Q43" s="356">
        <v>3712.737212</v>
      </c>
      <c r="R43" s="356">
        <f t="shared" si="3"/>
        <v>2313.467521</v>
      </c>
      <c r="S43" s="359"/>
      <c r="T43" s="356">
        <v>2313.467521</v>
      </c>
      <c r="U43" s="354"/>
      <c r="V43" s="354"/>
      <c r="W43" s="354"/>
      <c r="X43" s="124">
        <f>SUM(Y43:AB43)</f>
        <v>1066</v>
      </c>
      <c r="Y43" s="356">
        <v>1066</v>
      </c>
      <c r="Z43" s="354"/>
      <c r="AA43" s="354"/>
      <c r="AB43" s="354"/>
      <c r="AC43" s="13"/>
      <c r="AD43" s="354"/>
      <c r="AE43" s="13"/>
      <c r="AF43" s="124">
        <f t="shared" si="2"/>
        <v>1247.467521</v>
      </c>
      <c r="AG43" s="359"/>
      <c r="AH43" s="356">
        <f>2313.467521-1066</f>
        <v>1247.467521</v>
      </c>
      <c r="AI43" s="354"/>
      <c r="AJ43" s="354"/>
      <c r="AK43" s="354"/>
      <c r="AL43" s="124">
        <f>SUM(AM43:AP43)</f>
        <v>1066</v>
      </c>
      <c r="AM43" s="356">
        <v>1066</v>
      </c>
      <c r="AN43" s="354"/>
      <c r="AO43" s="354"/>
      <c r="AP43" s="354"/>
      <c r="AQ43" s="354"/>
      <c r="AR43" s="362">
        <f t="shared" si="4"/>
        <v>0</v>
      </c>
    </row>
    <row r="44" spans="1:44" ht="128.25" customHeight="1">
      <c r="A44" s="14"/>
      <c r="B44" s="14" t="s">
        <v>63</v>
      </c>
      <c r="C44" s="354">
        <v>7974403</v>
      </c>
      <c r="D44" s="14" t="s">
        <v>358</v>
      </c>
      <c r="E44" s="354" t="s">
        <v>379</v>
      </c>
      <c r="F44" s="313"/>
      <c r="G44" s="354"/>
      <c r="H44" s="354"/>
      <c r="I44" s="14" t="s">
        <v>166</v>
      </c>
      <c r="J44" s="14" t="s">
        <v>380</v>
      </c>
      <c r="K44" s="14">
        <v>2022</v>
      </c>
      <c r="L44" s="14">
        <v>2022</v>
      </c>
      <c r="M44" s="313" t="s">
        <v>381</v>
      </c>
      <c r="N44" s="356">
        <v>2174.9053290000002</v>
      </c>
      <c r="O44" s="356">
        <v>1355.2177340000001</v>
      </c>
      <c r="P44" s="14">
        <v>2022</v>
      </c>
      <c r="Q44" s="356">
        <v>2174.9053290000002</v>
      </c>
      <c r="R44" s="356">
        <f t="shared" si="3"/>
        <v>1355.2177340000001</v>
      </c>
      <c r="S44" s="359"/>
      <c r="T44" s="356">
        <v>1355.2177340000001</v>
      </c>
      <c r="U44" s="354"/>
      <c r="V44" s="354"/>
      <c r="W44" s="354"/>
      <c r="X44" s="124">
        <f>SUM(Y44:AB44)</f>
        <v>624</v>
      </c>
      <c r="Y44" s="356">
        <v>624</v>
      </c>
      <c r="Z44" s="354"/>
      <c r="AA44" s="354"/>
      <c r="AB44" s="354"/>
      <c r="AC44" s="13"/>
      <c r="AD44" s="354"/>
      <c r="AE44" s="13"/>
      <c r="AF44" s="124">
        <f t="shared" si="2"/>
        <v>731.21773400000006</v>
      </c>
      <c r="AG44" s="359"/>
      <c r="AH44" s="356">
        <f>1355.217734-624</f>
        <v>731.21773400000006</v>
      </c>
      <c r="AI44" s="354"/>
      <c r="AJ44" s="354"/>
      <c r="AK44" s="354"/>
      <c r="AL44" s="124">
        <f>SUM(AM44:AP44)</f>
        <v>624</v>
      </c>
      <c r="AM44" s="356">
        <v>624</v>
      </c>
      <c r="AN44" s="354"/>
      <c r="AO44" s="354"/>
      <c r="AP44" s="354"/>
      <c r="AQ44" s="354"/>
      <c r="AR44" s="362">
        <f t="shared" si="4"/>
        <v>0</v>
      </c>
    </row>
    <row r="45" spans="1:44" ht="128.25" customHeight="1">
      <c r="A45" s="14"/>
      <c r="B45" s="14" t="s">
        <v>63</v>
      </c>
      <c r="C45" s="354">
        <v>7974404</v>
      </c>
      <c r="D45" s="14" t="s">
        <v>358</v>
      </c>
      <c r="E45" s="354" t="s">
        <v>382</v>
      </c>
      <c r="F45" s="313"/>
      <c r="G45" s="354"/>
      <c r="H45" s="354"/>
      <c r="I45" s="14" t="s">
        <v>166</v>
      </c>
      <c r="J45" s="14" t="s">
        <v>383</v>
      </c>
      <c r="K45" s="14">
        <v>2022</v>
      </c>
      <c r="L45" s="14">
        <v>2022</v>
      </c>
      <c r="M45" s="313" t="s">
        <v>384</v>
      </c>
      <c r="N45" s="356">
        <v>417.39849299999997</v>
      </c>
      <c r="O45" s="356">
        <v>260.08660700000001</v>
      </c>
      <c r="P45" s="14">
        <v>2022</v>
      </c>
      <c r="Q45" s="356">
        <v>417.39849299999997</v>
      </c>
      <c r="R45" s="356">
        <f t="shared" si="3"/>
        <v>260.08660700000001</v>
      </c>
      <c r="S45" s="359"/>
      <c r="T45" s="356">
        <v>260.08660700000001</v>
      </c>
      <c r="U45" s="354"/>
      <c r="V45" s="354"/>
      <c r="W45" s="354"/>
      <c r="X45" s="13"/>
      <c r="Y45" s="354"/>
      <c r="Z45" s="354"/>
      <c r="AA45" s="354"/>
      <c r="AB45" s="354"/>
      <c r="AC45" s="13"/>
      <c r="AD45" s="354"/>
      <c r="AE45" s="13"/>
      <c r="AF45" s="124">
        <f t="shared" si="2"/>
        <v>260.08660700000001</v>
      </c>
      <c r="AG45" s="359"/>
      <c r="AH45" s="356">
        <v>260.08660700000001</v>
      </c>
      <c r="AI45" s="354"/>
      <c r="AJ45" s="354"/>
      <c r="AK45" s="354"/>
      <c r="AL45" s="13"/>
      <c r="AM45" s="354"/>
      <c r="AN45" s="354"/>
      <c r="AO45" s="354"/>
      <c r="AP45" s="354"/>
      <c r="AQ45" s="354"/>
      <c r="AR45" s="362">
        <f t="shared" si="4"/>
        <v>0</v>
      </c>
    </row>
    <row r="46" spans="1:44" ht="128.25" customHeight="1">
      <c r="A46" s="14"/>
      <c r="B46" s="14" t="s">
        <v>63</v>
      </c>
      <c r="C46" s="354">
        <v>7978787</v>
      </c>
      <c r="D46" s="14" t="s">
        <v>358</v>
      </c>
      <c r="E46" s="354" t="s">
        <v>385</v>
      </c>
      <c r="F46" s="313"/>
      <c r="G46" s="354"/>
      <c r="H46" s="354"/>
      <c r="I46" s="14" t="s">
        <v>386</v>
      </c>
      <c r="J46" s="14" t="s">
        <v>299</v>
      </c>
      <c r="K46" s="14">
        <v>2022</v>
      </c>
      <c r="L46" s="14">
        <v>2022</v>
      </c>
      <c r="M46" s="313" t="s">
        <v>387</v>
      </c>
      <c r="N46" s="356">
        <v>1644.3871959999999</v>
      </c>
      <c r="O46" s="356">
        <v>914.13459899999998</v>
      </c>
      <c r="P46" s="14">
        <v>2022</v>
      </c>
      <c r="Q46" s="356">
        <v>1644.3871959999999</v>
      </c>
      <c r="R46" s="356">
        <f t="shared" si="3"/>
        <v>914.13459899999998</v>
      </c>
      <c r="S46" s="359"/>
      <c r="T46" s="356">
        <v>914.13459899999998</v>
      </c>
      <c r="U46" s="354"/>
      <c r="V46" s="354"/>
      <c r="W46" s="354"/>
      <c r="X46" s="13"/>
      <c r="Y46" s="354"/>
      <c r="Z46" s="354"/>
      <c r="AA46" s="354"/>
      <c r="AB46" s="354"/>
      <c r="AC46" s="13"/>
      <c r="AD46" s="354"/>
      <c r="AE46" s="13"/>
      <c r="AF46" s="124">
        <f t="shared" si="2"/>
        <v>914.13459899999998</v>
      </c>
      <c r="AG46" s="359"/>
      <c r="AH46" s="356">
        <v>914.13459899999998</v>
      </c>
      <c r="AI46" s="354"/>
      <c r="AJ46" s="354"/>
      <c r="AK46" s="354"/>
      <c r="AL46" s="13"/>
      <c r="AM46" s="354"/>
      <c r="AN46" s="354"/>
      <c r="AO46" s="354"/>
      <c r="AP46" s="354"/>
      <c r="AQ46" s="354"/>
      <c r="AR46" s="362">
        <f t="shared" si="4"/>
        <v>0</v>
      </c>
    </row>
    <row r="47" spans="1:44" ht="128.25" customHeight="1">
      <c r="A47" s="14"/>
      <c r="B47" s="14" t="s">
        <v>63</v>
      </c>
      <c r="C47" s="354">
        <v>7978785</v>
      </c>
      <c r="D47" s="14" t="s">
        <v>358</v>
      </c>
      <c r="E47" s="354" t="s">
        <v>388</v>
      </c>
      <c r="F47" s="313"/>
      <c r="G47" s="354"/>
      <c r="H47" s="354"/>
      <c r="I47" s="14" t="s">
        <v>386</v>
      </c>
      <c r="J47" s="14" t="s">
        <v>389</v>
      </c>
      <c r="K47" s="14">
        <v>2022</v>
      </c>
      <c r="L47" s="14">
        <v>2022</v>
      </c>
      <c r="M47" s="313" t="s">
        <v>390</v>
      </c>
      <c r="N47" s="356">
        <v>2224.7717619999999</v>
      </c>
      <c r="O47" s="356">
        <v>1236.77917</v>
      </c>
      <c r="P47" s="14">
        <v>2022</v>
      </c>
      <c r="Q47" s="356">
        <v>2224.7717619999999</v>
      </c>
      <c r="R47" s="356">
        <f t="shared" si="3"/>
        <v>1236.77917</v>
      </c>
      <c r="S47" s="359"/>
      <c r="T47" s="356">
        <v>1236.77917</v>
      </c>
      <c r="U47" s="354"/>
      <c r="V47" s="354"/>
      <c r="W47" s="354"/>
      <c r="X47" s="13"/>
      <c r="Y47" s="354"/>
      <c r="Z47" s="354"/>
      <c r="AA47" s="354"/>
      <c r="AB47" s="354"/>
      <c r="AC47" s="13"/>
      <c r="AD47" s="354"/>
      <c r="AE47" s="13"/>
      <c r="AF47" s="124">
        <f t="shared" si="2"/>
        <v>1236.77917</v>
      </c>
      <c r="AG47" s="359"/>
      <c r="AH47" s="356">
        <v>1236.77917</v>
      </c>
      <c r="AI47" s="354"/>
      <c r="AJ47" s="354"/>
      <c r="AK47" s="354"/>
      <c r="AL47" s="13"/>
      <c r="AM47" s="354"/>
      <c r="AN47" s="354"/>
      <c r="AO47" s="354"/>
      <c r="AP47" s="354"/>
      <c r="AQ47" s="354"/>
      <c r="AR47" s="362">
        <f t="shared" si="4"/>
        <v>0</v>
      </c>
    </row>
    <row r="48" spans="1:44" ht="128.25" customHeight="1">
      <c r="A48" s="14"/>
      <c r="B48" s="14" t="s">
        <v>63</v>
      </c>
      <c r="C48" s="354">
        <v>7979005</v>
      </c>
      <c r="D48" s="14" t="s">
        <v>358</v>
      </c>
      <c r="E48" s="354" t="s">
        <v>391</v>
      </c>
      <c r="F48" s="313"/>
      <c r="G48" s="354"/>
      <c r="H48" s="354"/>
      <c r="I48" s="14" t="s">
        <v>386</v>
      </c>
      <c r="J48" s="14" t="s">
        <v>392</v>
      </c>
      <c r="K48" s="14">
        <v>2022</v>
      </c>
      <c r="L48" s="14">
        <v>2022</v>
      </c>
      <c r="M48" s="313" t="s">
        <v>393</v>
      </c>
      <c r="N48" s="356">
        <v>193.47939099999999</v>
      </c>
      <c r="O48" s="356">
        <v>107.560699</v>
      </c>
      <c r="P48" s="14">
        <v>2022</v>
      </c>
      <c r="Q48" s="356">
        <v>193.47939099999999</v>
      </c>
      <c r="R48" s="356">
        <f t="shared" si="3"/>
        <v>107.560699</v>
      </c>
      <c r="S48" s="359"/>
      <c r="T48" s="356">
        <v>107.560699</v>
      </c>
      <c r="U48" s="354"/>
      <c r="V48" s="354"/>
      <c r="W48" s="354"/>
      <c r="X48" s="13"/>
      <c r="Y48" s="354"/>
      <c r="Z48" s="354"/>
      <c r="AA48" s="354"/>
      <c r="AB48" s="354"/>
      <c r="AC48" s="13"/>
      <c r="AD48" s="354"/>
      <c r="AE48" s="13"/>
      <c r="AF48" s="124">
        <f t="shared" si="2"/>
        <v>107.560699</v>
      </c>
      <c r="AG48" s="359"/>
      <c r="AH48" s="356">
        <v>107.560699</v>
      </c>
      <c r="AI48" s="354"/>
      <c r="AJ48" s="354"/>
      <c r="AK48" s="354"/>
      <c r="AL48" s="13"/>
      <c r="AM48" s="354"/>
      <c r="AN48" s="354"/>
      <c r="AO48" s="354"/>
      <c r="AP48" s="354"/>
      <c r="AQ48" s="354"/>
      <c r="AR48" s="362">
        <f t="shared" si="4"/>
        <v>0</v>
      </c>
    </row>
    <row r="49" spans="1:44" ht="128.25" customHeight="1">
      <c r="A49" s="14"/>
      <c r="B49" s="14" t="s">
        <v>63</v>
      </c>
      <c r="C49" s="354">
        <v>7978780</v>
      </c>
      <c r="D49" s="14" t="s">
        <v>358</v>
      </c>
      <c r="E49" s="354" t="s">
        <v>394</v>
      </c>
      <c r="F49" s="313"/>
      <c r="G49" s="354"/>
      <c r="H49" s="354"/>
      <c r="I49" s="14" t="s">
        <v>386</v>
      </c>
      <c r="J49" s="14" t="s">
        <v>368</v>
      </c>
      <c r="K49" s="14">
        <v>2022</v>
      </c>
      <c r="L49" s="14">
        <v>2022</v>
      </c>
      <c r="M49" s="313" t="s">
        <v>395</v>
      </c>
      <c r="N49" s="356">
        <v>338.54872799999998</v>
      </c>
      <c r="O49" s="356">
        <v>188.203078</v>
      </c>
      <c r="P49" s="14">
        <v>2022</v>
      </c>
      <c r="Q49" s="356">
        <v>338.54872799999998</v>
      </c>
      <c r="R49" s="356">
        <f t="shared" si="3"/>
        <v>188.203078</v>
      </c>
      <c r="S49" s="359"/>
      <c r="T49" s="356">
        <v>188.203078</v>
      </c>
      <c r="U49" s="354"/>
      <c r="V49" s="354"/>
      <c r="W49" s="354"/>
      <c r="X49" s="13"/>
      <c r="Y49" s="354"/>
      <c r="Z49" s="354"/>
      <c r="AA49" s="354"/>
      <c r="AB49" s="354"/>
      <c r="AC49" s="13"/>
      <c r="AD49" s="354"/>
      <c r="AE49" s="13"/>
      <c r="AF49" s="124">
        <f t="shared" si="2"/>
        <v>188.203078</v>
      </c>
      <c r="AG49" s="359"/>
      <c r="AH49" s="356">
        <v>188.203078</v>
      </c>
      <c r="AI49" s="354"/>
      <c r="AJ49" s="354"/>
      <c r="AK49" s="354"/>
      <c r="AL49" s="13"/>
      <c r="AM49" s="354"/>
      <c r="AN49" s="354"/>
      <c r="AO49" s="354"/>
      <c r="AP49" s="354"/>
      <c r="AQ49" s="354"/>
      <c r="AR49" s="362">
        <f t="shared" si="4"/>
        <v>0</v>
      </c>
    </row>
    <row r="50" spans="1:44" ht="128.25" customHeight="1">
      <c r="A50" s="14"/>
      <c r="B50" s="14" t="s">
        <v>63</v>
      </c>
      <c r="C50" s="354">
        <v>7978783</v>
      </c>
      <c r="D50" s="14" t="s">
        <v>358</v>
      </c>
      <c r="E50" s="354" t="s">
        <v>396</v>
      </c>
      <c r="F50" s="313"/>
      <c r="G50" s="354"/>
      <c r="H50" s="354"/>
      <c r="I50" s="14" t="s">
        <v>386</v>
      </c>
      <c r="J50" s="14" t="s">
        <v>392</v>
      </c>
      <c r="K50" s="14">
        <v>2022</v>
      </c>
      <c r="L50" s="14">
        <v>2022</v>
      </c>
      <c r="M50" s="313" t="s">
        <v>397</v>
      </c>
      <c r="N50" s="356">
        <v>193.47939099999999</v>
      </c>
      <c r="O50" s="356">
        <v>107.5607</v>
      </c>
      <c r="P50" s="14">
        <v>2022</v>
      </c>
      <c r="Q50" s="356">
        <v>193.47939099999999</v>
      </c>
      <c r="R50" s="356">
        <f t="shared" si="3"/>
        <v>107.5607</v>
      </c>
      <c r="S50" s="359"/>
      <c r="T50" s="356">
        <v>107.5607</v>
      </c>
      <c r="U50" s="354"/>
      <c r="V50" s="354"/>
      <c r="W50" s="354"/>
      <c r="X50" s="13"/>
      <c r="Y50" s="354"/>
      <c r="Z50" s="354"/>
      <c r="AA50" s="354"/>
      <c r="AB50" s="354"/>
      <c r="AC50" s="13"/>
      <c r="AD50" s="354"/>
      <c r="AE50" s="13"/>
      <c r="AF50" s="124">
        <f t="shared" si="2"/>
        <v>107.5607</v>
      </c>
      <c r="AG50" s="359"/>
      <c r="AH50" s="356">
        <v>107.5607</v>
      </c>
      <c r="AI50" s="354"/>
      <c r="AJ50" s="354"/>
      <c r="AK50" s="354"/>
      <c r="AL50" s="13"/>
      <c r="AM50" s="354"/>
      <c r="AN50" s="354"/>
      <c r="AO50" s="354"/>
      <c r="AP50" s="354"/>
      <c r="AQ50" s="354"/>
      <c r="AR50" s="362">
        <f t="shared" si="4"/>
        <v>0</v>
      </c>
    </row>
    <row r="51" spans="1:44" ht="128.25" customHeight="1">
      <c r="A51" s="14"/>
      <c r="B51" s="14" t="s">
        <v>63</v>
      </c>
      <c r="C51" s="354">
        <v>7978777</v>
      </c>
      <c r="D51" s="14" t="s">
        <v>358</v>
      </c>
      <c r="E51" s="354" t="s">
        <v>398</v>
      </c>
      <c r="F51" s="313"/>
      <c r="G51" s="354"/>
      <c r="H51" s="354"/>
      <c r="I51" s="14" t="s">
        <v>386</v>
      </c>
      <c r="J51" s="14" t="s">
        <v>305</v>
      </c>
      <c r="K51" s="14">
        <v>2022</v>
      </c>
      <c r="L51" s="14">
        <v>2022</v>
      </c>
      <c r="M51" s="313" t="s">
        <v>399</v>
      </c>
      <c r="N51" s="356">
        <v>1934.5794800000001</v>
      </c>
      <c r="O51" s="356">
        <v>1655.8307299999999</v>
      </c>
      <c r="P51" s="14">
        <v>2022</v>
      </c>
      <c r="Q51" s="356">
        <v>1934.5794800000001</v>
      </c>
      <c r="R51" s="356">
        <f t="shared" si="3"/>
        <v>1655.8307299999999</v>
      </c>
      <c r="S51" s="359"/>
      <c r="T51" s="356">
        <v>1655.8307299999999</v>
      </c>
      <c r="U51" s="354"/>
      <c r="V51" s="354"/>
      <c r="W51" s="354"/>
      <c r="X51" s="13"/>
      <c r="Y51" s="354"/>
      <c r="Z51" s="354"/>
      <c r="AA51" s="354"/>
      <c r="AB51" s="354"/>
      <c r="AC51" s="13"/>
      <c r="AD51" s="354"/>
      <c r="AE51" s="13"/>
      <c r="AF51" s="124">
        <f t="shared" si="2"/>
        <v>1655.8307299999999</v>
      </c>
      <c r="AG51" s="359"/>
      <c r="AH51" s="356">
        <v>1655.8307299999999</v>
      </c>
      <c r="AI51" s="354"/>
      <c r="AJ51" s="354"/>
      <c r="AK51" s="354"/>
      <c r="AL51" s="13"/>
      <c r="AM51" s="354"/>
      <c r="AN51" s="354"/>
      <c r="AO51" s="354"/>
      <c r="AP51" s="354"/>
      <c r="AQ51" s="354"/>
      <c r="AR51" s="362">
        <f t="shared" si="4"/>
        <v>0</v>
      </c>
    </row>
    <row r="52" spans="1:44" ht="128.25" customHeight="1">
      <c r="A52" s="14"/>
      <c r="B52" s="14" t="s">
        <v>63</v>
      </c>
      <c r="C52" s="354">
        <v>7978786</v>
      </c>
      <c r="D52" s="14" t="s">
        <v>358</v>
      </c>
      <c r="E52" s="354" t="s">
        <v>400</v>
      </c>
      <c r="F52" s="313"/>
      <c r="G52" s="354"/>
      <c r="H52" s="354"/>
      <c r="I52" s="14" t="s">
        <v>386</v>
      </c>
      <c r="J52" s="14" t="s">
        <v>392</v>
      </c>
      <c r="K52" s="14">
        <v>2022</v>
      </c>
      <c r="L52" s="14">
        <v>2022</v>
      </c>
      <c r="M52" s="313" t="s">
        <v>401</v>
      </c>
      <c r="N52" s="356">
        <v>193.47939099999999</v>
      </c>
      <c r="O52" s="356">
        <v>107.560699</v>
      </c>
      <c r="P52" s="14">
        <v>2022</v>
      </c>
      <c r="Q52" s="356">
        <v>193.47939099999999</v>
      </c>
      <c r="R52" s="356">
        <f t="shared" si="3"/>
        <v>107.560699</v>
      </c>
      <c r="S52" s="359"/>
      <c r="T52" s="356">
        <v>107.560699</v>
      </c>
      <c r="U52" s="354"/>
      <c r="V52" s="354"/>
      <c r="W52" s="354"/>
      <c r="X52" s="13"/>
      <c r="Y52" s="354"/>
      <c r="Z52" s="354"/>
      <c r="AA52" s="354"/>
      <c r="AB52" s="354"/>
      <c r="AC52" s="13"/>
      <c r="AD52" s="354"/>
      <c r="AE52" s="13"/>
      <c r="AF52" s="124">
        <f t="shared" si="2"/>
        <v>107.560699</v>
      </c>
      <c r="AG52" s="359"/>
      <c r="AH52" s="356">
        <v>107.560699</v>
      </c>
      <c r="AI52" s="354"/>
      <c r="AJ52" s="354"/>
      <c r="AK52" s="354"/>
      <c r="AL52" s="13"/>
      <c r="AM52" s="354"/>
      <c r="AN52" s="354"/>
      <c r="AO52" s="354"/>
      <c r="AP52" s="354"/>
      <c r="AQ52" s="354"/>
      <c r="AR52" s="362">
        <f t="shared" si="4"/>
        <v>0</v>
      </c>
    </row>
    <row r="53" spans="1:44" ht="128.25" customHeight="1">
      <c r="A53" s="14"/>
      <c r="B53" s="14" t="s">
        <v>63</v>
      </c>
      <c r="C53" s="354">
        <v>7976626</v>
      </c>
      <c r="D53" s="14" t="s">
        <v>402</v>
      </c>
      <c r="E53" s="354" t="s">
        <v>403</v>
      </c>
      <c r="F53" s="313"/>
      <c r="G53" s="354"/>
      <c r="H53" s="354"/>
      <c r="I53" s="14" t="s">
        <v>404</v>
      </c>
      <c r="J53" s="14" t="s">
        <v>405</v>
      </c>
      <c r="K53" s="14">
        <v>2022</v>
      </c>
      <c r="L53" s="14">
        <v>2022</v>
      </c>
      <c r="M53" s="313" t="s">
        <v>406</v>
      </c>
      <c r="N53" s="356">
        <v>1023.2228</v>
      </c>
      <c r="O53" s="356">
        <v>869.91098699999998</v>
      </c>
      <c r="P53" s="14">
        <v>2022</v>
      </c>
      <c r="Q53" s="356">
        <v>1023.2228</v>
      </c>
      <c r="R53" s="356">
        <f t="shared" si="3"/>
        <v>869.91098699999998</v>
      </c>
      <c r="S53" s="359"/>
      <c r="T53" s="356">
        <v>869.91098699999998</v>
      </c>
      <c r="U53" s="354"/>
      <c r="V53" s="354"/>
      <c r="W53" s="354"/>
      <c r="X53" s="13"/>
      <c r="Y53" s="354"/>
      <c r="Z53" s="354"/>
      <c r="AA53" s="354"/>
      <c r="AB53" s="354"/>
      <c r="AC53" s="13"/>
      <c r="AD53" s="354"/>
      <c r="AE53" s="13"/>
      <c r="AF53" s="124">
        <f t="shared" si="2"/>
        <v>869.91098699999998</v>
      </c>
      <c r="AG53" s="359"/>
      <c r="AH53" s="356">
        <v>869.91098699999998</v>
      </c>
      <c r="AI53" s="354"/>
      <c r="AJ53" s="354"/>
      <c r="AK53" s="354"/>
      <c r="AL53" s="13"/>
      <c r="AM53" s="354"/>
      <c r="AN53" s="354"/>
      <c r="AO53" s="354"/>
      <c r="AP53" s="354"/>
      <c r="AQ53" s="354"/>
      <c r="AR53" s="362">
        <f t="shared" si="4"/>
        <v>0</v>
      </c>
    </row>
    <row r="54" spans="1:44" ht="128.25" customHeight="1">
      <c r="A54" s="14"/>
      <c r="B54" s="14" t="s">
        <v>63</v>
      </c>
      <c r="C54" s="354" t="s">
        <v>407</v>
      </c>
      <c r="D54" s="14" t="s">
        <v>294</v>
      </c>
      <c r="E54" s="354" t="s">
        <v>408</v>
      </c>
      <c r="F54" s="313"/>
      <c r="G54" s="354"/>
      <c r="H54" s="354"/>
      <c r="I54" s="14" t="s">
        <v>166</v>
      </c>
      <c r="J54" s="14" t="s">
        <v>409</v>
      </c>
      <c r="K54" s="14">
        <v>2023</v>
      </c>
      <c r="L54" s="14">
        <v>2023</v>
      </c>
      <c r="M54" s="313" t="s">
        <v>410</v>
      </c>
      <c r="N54" s="356">
        <v>162.47542100000001</v>
      </c>
      <c r="O54" s="356">
        <v>89.749252999999996</v>
      </c>
      <c r="P54" s="14">
        <v>2023</v>
      </c>
      <c r="Q54" s="356">
        <v>162.47542100000001</v>
      </c>
      <c r="R54" s="356">
        <f t="shared" ref="R54:R65" si="5">SUM(S54:W54)</f>
        <v>89.749252999999996</v>
      </c>
      <c r="S54" s="360"/>
      <c r="T54" s="359"/>
      <c r="U54" s="356">
        <v>89.749252999999996</v>
      </c>
      <c r="V54" s="354"/>
      <c r="W54" s="354"/>
      <c r="X54" s="13"/>
      <c r="Y54" s="354"/>
      <c r="Z54" s="354"/>
      <c r="AA54" s="354"/>
      <c r="AB54" s="354"/>
      <c r="AC54" s="13"/>
      <c r="AD54" s="354"/>
      <c r="AE54" s="13"/>
      <c r="AF54" s="124">
        <f t="shared" si="2"/>
        <v>89.749252999999996</v>
      </c>
      <c r="AG54" s="359"/>
      <c r="AH54" s="359"/>
      <c r="AI54" s="356">
        <v>89.749252999999996</v>
      </c>
      <c r="AJ54" s="354"/>
      <c r="AK54" s="354"/>
      <c r="AL54" s="13"/>
      <c r="AM54" s="354"/>
      <c r="AN54" s="354"/>
      <c r="AO54" s="354"/>
      <c r="AP54" s="354"/>
      <c r="AQ54" s="354"/>
      <c r="AR54" s="362">
        <f t="shared" si="4"/>
        <v>0</v>
      </c>
    </row>
    <row r="55" spans="1:44" ht="128.25" customHeight="1">
      <c r="A55" s="14"/>
      <c r="B55" s="14" t="s">
        <v>63</v>
      </c>
      <c r="C55" s="354" t="s">
        <v>411</v>
      </c>
      <c r="D55" s="14" t="s">
        <v>294</v>
      </c>
      <c r="E55" s="354" t="s">
        <v>412</v>
      </c>
      <c r="F55" s="313"/>
      <c r="G55" s="354"/>
      <c r="H55" s="354"/>
      <c r="I55" s="14" t="s">
        <v>166</v>
      </c>
      <c r="J55" s="14" t="s">
        <v>413</v>
      </c>
      <c r="K55" s="14">
        <v>2023</v>
      </c>
      <c r="L55" s="14">
        <v>2023</v>
      </c>
      <c r="M55" s="313" t="s">
        <v>414</v>
      </c>
      <c r="N55" s="356">
        <v>773.496579</v>
      </c>
      <c r="O55" s="356">
        <v>434.854083</v>
      </c>
      <c r="P55" s="14">
        <v>2023</v>
      </c>
      <c r="Q55" s="356">
        <v>773.496579</v>
      </c>
      <c r="R55" s="356">
        <f t="shared" si="5"/>
        <v>434.854083</v>
      </c>
      <c r="S55" s="361"/>
      <c r="T55" s="359"/>
      <c r="U55" s="356">
        <v>434.854083</v>
      </c>
      <c r="V55" s="354"/>
      <c r="W55" s="354"/>
      <c r="X55" s="13"/>
      <c r="Y55" s="354"/>
      <c r="Z55" s="354"/>
      <c r="AA55" s="354"/>
      <c r="AB55" s="354"/>
      <c r="AC55" s="13"/>
      <c r="AD55" s="354"/>
      <c r="AE55" s="13"/>
      <c r="AF55" s="124">
        <f t="shared" si="2"/>
        <v>434.854083</v>
      </c>
      <c r="AG55" s="359"/>
      <c r="AH55" s="359"/>
      <c r="AI55" s="356">
        <v>434.854083</v>
      </c>
      <c r="AJ55" s="354"/>
      <c r="AK55" s="354"/>
      <c r="AL55" s="13"/>
      <c r="AM55" s="354"/>
      <c r="AN55" s="354"/>
      <c r="AO55" s="354"/>
      <c r="AP55" s="354"/>
      <c r="AQ55" s="354"/>
      <c r="AR55" s="362">
        <f t="shared" si="4"/>
        <v>0</v>
      </c>
    </row>
    <row r="56" spans="1:44" ht="128.25" customHeight="1">
      <c r="A56" s="14"/>
      <c r="B56" s="14" t="s">
        <v>63</v>
      </c>
      <c r="C56" s="354" t="s">
        <v>415</v>
      </c>
      <c r="D56" s="14" t="s">
        <v>294</v>
      </c>
      <c r="E56" s="354" t="s">
        <v>416</v>
      </c>
      <c r="F56" s="313"/>
      <c r="G56" s="354"/>
      <c r="H56" s="354"/>
      <c r="I56" s="14" t="s">
        <v>166</v>
      </c>
      <c r="J56" s="14" t="s">
        <v>417</v>
      </c>
      <c r="K56" s="14">
        <v>2023</v>
      </c>
      <c r="L56" s="14">
        <v>2023</v>
      </c>
      <c r="M56" s="313" t="s">
        <v>418</v>
      </c>
      <c r="N56" s="356">
        <v>522.11286800000005</v>
      </c>
      <c r="O56" s="356">
        <v>293.52838100000002</v>
      </c>
      <c r="P56" s="14">
        <v>2023</v>
      </c>
      <c r="Q56" s="356">
        <v>522.11286800000005</v>
      </c>
      <c r="R56" s="356">
        <f t="shared" si="5"/>
        <v>293.52838100000002</v>
      </c>
      <c r="S56" s="361"/>
      <c r="T56" s="359"/>
      <c r="U56" s="356">
        <v>293.52838100000002</v>
      </c>
      <c r="V56" s="354"/>
      <c r="W56" s="354"/>
      <c r="X56" s="13"/>
      <c r="Y56" s="354"/>
      <c r="Z56" s="354"/>
      <c r="AA56" s="354"/>
      <c r="AB56" s="354"/>
      <c r="AC56" s="13"/>
      <c r="AD56" s="354"/>
      <c r="AE56" s="13"/>
      <c r="AF56" s="124">
        <f t="shared" si="2"/>
        <v>293.52838100000002</v>
      </c>
      <c r="AG56" s="359"/>
      <c r="AH56" s="359"/>
      <c r="AI56" s="356">
        <v>293.52838100000002</v>
      </c>
      <c r="AJ56" s="354"/>
      <c r="AK56" s="354"/>
      <c r="AL56" s="13"/>
      <c r="AM56" s="354"/>
      <c r="AN56" s="354"/>
      <c r="AO56" s="354"/>
      <c r="AP56" s="354"/>
      <c r="AQ56" s="354"/>
      <c r="AR56" s="362">
        <f t="shared" si="4"/>
        <v>0</v>
      </c>
    </row>
    <row r="57" spans="1:44" ht="128.25" customHeight="1">
      <c r="A57" s="14"/>
      <c r="B57" s="14" t="s">
        <v>63</v>
      </c>
      <c r="C57" s="354" t="s">
        <v>419</v>
      </c>
      <c r="D57" s="14" t="s">
        <v>294</v>
      </c>
      <c r="E57" s="354" t="s">
        <v>420</v>
      </c>
      <c r="F57" s="313"/>
      <c r="G57" s="354"/>
      <c r="H57" s="354"/>
      <c r="I57" s="14" t="s">
        <v>386</v>
      </c>
      <c r="J57" s="14" t="s">
        <v>305</v>
      </c>
      <c r="K57" s="14">
        <v>2023</v>
      </c>
      <c r="L57" s="14">
        <v>2023</v>
      </c>
      <c r="M57" s="313" t="s">
        <v>421</v>
      </c>
      <c r="N57" s="356">
        <v>1876.7825319999999</v>
      </c>
      <c r="O57" s="356">
        <v>1001.549172</v>
      </c>
      <c r="P57" s="14">
        <v>2023</v>
      </c>
      <c r="Q57" s="356">
        <v>1876.7825319999999</v>
      </c>
      <c r="R57" s="356">
        <f t="shared" si="5"/>
        <v>1001.549172</v>
      </c>
      <c r="S57" s="359"/>
      <c r="T57" s="359"/>
      <c r="U57" s="356">
        <v>1001.549172</v>
      </c>
      <c r="V57" s="354"/>
      <c r="W57" s="354"/>
      <c r="X57" s="13"/>
      <c r="Y57" s="354"/>
      <c r="Z57" s="354"/>
      <c r="AA57" s="354"/>
      <c r="AB57" s="354"/>
      <c r="AC57" s="13"/>
      <c r="AD57" s="354"/>
      <c r="AE57" s="13"/>
      <c r="AF57" s="124">
        <f t="shared" si="2"/>
        <v>1001.549172</v>
      </c>
      <c r="AG57" s="359"/>
      <c r="AH57" s="359"/>
      <c r="AI57" s="356">
        <v>1001.549172</v>
      </c>
      <c r="AJ57" s="354"/>
      <c r="AK57" s="354"/>
      <c r="AL57" s="13"/>
      <c r="AM57" s="354"/>
      <c r="AN57" s="354"/>
      <c r="AO57" s="354"/>
      <c r="AP57" s="354"/>
      <c r="AQ57" s="354"/>
      <c r="AR57" s="362">
        <f t="shared" si="4"/>
        <v>0</v>
      </c>
    </row>
    <row r="58" spans="1:44" ht="128.25" customHeight="1">
      <c r="A58" s="14"/>
      <c r="B58" s="14" t="s">
        <v>63</v>
      </c>
      <c r="C58" s="354" t="s">
        <v>422</v>
      </c>
      <c r="D58" s="14" t="s">
        <v>294</v>
      </c>
      <c r="E58" s="354" t="s">
        <v>423</v>
      </c>
      <c r="F58" s="313"/>
      <c r="G58" s="354"/>
      <c r="H58" s="354"/>
      <c r="I58" s="14" t="s">
        <v>386</v>
      </c>
      <c r="J58" s="14" t="s">
        <v>424</v>
      </c>
      <c r="K58" s="14">
        <v>2023</v>
      </c>
      <c r="L58" s="14">
        <v>2023</v>
      </c>
      <c r="M58" s="313" t="s">
        <v>421</v>
      </c>
      <c r="N58" s="356">
        <v>103.22304200000001</v>
      </c>
      <c r="O58" s="356">
        <v>55.085205999999999</v>
      </c>
      <c r="P58" s="14">
        <v>2023</v>
      </c>
      <c r="Q58" s="356">
        <v>103.22304200000001</v>
      </c>
      <c r="R58" s="356">
        <f t="shared" si="5"/>
        <v>55.085205999999999</v>
      </c>
      <c r="S58" s="359"/>
      <c r="T58" s="359"/>
      <c r="U58" s="356">
        <v>55.085205999999999</v>
      </c>
      <c r="V58" s="354"/>
      <c r="W58" s="354"/>
      <c r="X58" s="13"/>
      <c r="Y58" s="354"/>
      <c r="Z58" s="354"/>
      <c r="AA58" s="354"/>
      <c r="AB58" s="354"/>
      <c r="AC58" s="13"/>
      <c r="AD58" s="354"/>
      <c r="AE58" s="13"/>
      <c r="AF58" s="124">
        <f t="shared" si="2"/>
        <v>55.085205999999999</v>
      </c>
      <c r="AG58" s="359"/>
      <c r="AH58" s="359"/>
      <c r="AI58" s="356">
        <v>55.085205999999999</v>
      </c>
      <c r="AJ58" s="354"/>
      <c r="AK58" s="354"/>
      <c r="AL58" s="13"/>
      <c r="AM58" s="354"/>
      <c r="AN58" s="354"/>
      <c r="AO58" s="354"/>
      <c r="AP58" s="354"/>
      <c r="AQ58" s="354"/>
      <c r="AR58" s="362">
        <f t="shared" si="4"/>
        <v>0</v>
      </c>
    </row>
    <row r="59" spans="1:44" ht="128.25" customHeight="1">
      <c r="A59" s="14"/>
      <c r="B59" s="14" t="s">
        <v>63</v>
      </c>
      <c r="C59" s="354" t="s">
        <v>425</v>
      </c>
      <c r="D59" s="14" t="s">
        <v>294</v>
      </c>
      <c r="E59" s="354" t="s">
        <v>426</v>
      </c>
      <c r="F59" s="313"/>
      <c r="G59" s="354"/>
      <c r="H59" s="354"/>
      <c r="I59" s="14" t="s">
        <v>386</v>
      </c>
      <c r="J59" s="14" t="s">
        <v>392</v>
      </c>
      <c r="K59" s="14">
        <v>2023</v>
      </c>
      <c r="L59" s="14">
        <v>2023</v>
      </c>
      <c r="M59" s="313" t="s">
        <v>427</v>
      </c>
      <c r="N59" s="356">
        <v>187.67825199999999</v>
      </c>
      <c r="O59" s="356">
        <v>100.154916</v>
      </c>
      <c r="P59" s="14">
        <v>2023</v>
      </c>
      <c r="Q59" s="356">
        <v>187.67825199999999</v>
      </c>
      <c r="R59" s="356">
        <f t="shared" si="5"/>
        <v>100.154916</v>
      </c>
      <c r="S59" s="359"/>
      <c r="T59" s="359"/>
      <c r="U59" s="356">
        <v>100.154916</v>
      </c>
      <c r="V59" s="354"/>
      <c r="W59" s="354"/>
      <c r="X59" s="13"/>
      <c r="Y59" s="354"/>
      <c r="Z59" s="354"/>
      <c r="AA59" s="354"/>
      <c r="AB59" s="354"/>
      <c r="AC59" s="13"/>
      <c r="AD59" s="354"/>
      <c r="AE59" s="13"/>
      <c r="AF59" s="124">
        <f t="shared" si="2"/>
        <v>100.154916</v>
      </c>
      <c r="AG59" s="359"/>
      <c r="AH59" s="359"/>
      <c r="AI59" s="356">
        <v>100.154916</v>
      </c>
      <c r="AJ59" s="354"/>
      <c r="AK59" s="354"/>
      <c r="AL59" s="13"/>
      <c r="AM59" s="354"/>
      <c r="AN59" s="354"/>
      <c r="AO59" s="354"/>
      <c r="AP59" s="354"/>
      <c r="AQ59" s="354"/>
      <c r="AR59" s="362">
        <f t="shared" si="4"/>
        <v>0</v>
      </c>
    </row>
    <row r="60" spans="1:44" ht="128.25" customHeight="1">
      <c r="A60" s="14"/>
      <c r="B60" s="14" t="s">
        <v>63</v>
      </c>
      <c r="C60" s="354" t="s">
        <v>428</v>
      </c>
      <c r="D60" s="14" t="s">
        <v>294</v>
      </c>
      <c r="E60" s="354" t="s">
        <v>429</v>
      </c>
      <c r="F60" s="313"/>
      <c r="G60" s="354"/>
      <c r="H60" s="354"/>
      <c r="I60" s="14" t="s">
        <v>386</v>
      </c>
      <c r="J60" s="14" t="s">
        <v>333</v>
      </c>
      <c r="K60" s="14">
        <v>2023</v>
      </c>
      <c r="L60" s="14">
        <v>2023</v>
      </c>
      <c r="M60" s="313" t="s">
        <v>430</v>
      </c>
      <c r="N60" s="356">
        <v>1689.10428</v>
      </c>
      <c r="O60" s="356">
        <v>901.39425600000004</v>
      </c>
      <c r="P60" s="14">
        <v>2023</v>
      </c>
      <c r="Q60" s="356">
        <v>1689.10428</v>
      </c>
      <c r="R60" s="356">
        <f t="shared" si="5"/>
        <v>901.39425600000004</v>
      </c>
      <c r="S60" s="359"/>
      <c r="T60" s="359"/>
      <c r="U60" s="356">
        <v>901.39425600000004</v>
      </c>
      <c r="V60" s="354"/>
      <c r="W60" s="354"/>
      <c r="X60" s="13"/>
      <c r="Y60" s="354"/>
      <c r="Z60" s="354"/>
      <c r="AA60" s="354"/>
      <c r="AB60" s="354"/>
      <c r="AC60" s="13"/>
      <c r="AD60" s="354"/>
      <c r="AE60" s="13"/>
      <c r="AF60" s="124">
        <f t="shared" si="2"/>
        <v>901.39425600000004</v>
      </c>
      <c r="AG60" s="359"/>
      <c r="AH60" s="359"/>
      <c r="AI60" s="356">
        <v>901.39425600000004</v>
      </c>
      <c r="AJ60" s="354"/>
      <c r="AK60" s="354"/>
      <c r="AL60" s="13"/>
      <c r="AM60" s="354"/>
      <c r="AN60" s="354"/>
      <c r="AO60" s="354"/>
      <c r="AP60" s="354"/>
      <c r="AQ60" s="354"/>
      <c r="AR60" s="362">
        <f t="shared" si="4"/>
        <v>0</v>
      </c>
    </row>
    <row r="61" spans="1:44" ht="128.25" customHeight="1">
      <c r="A61" s="14"/>
      <c r="B61" s="14" t="s">
        <v>63</v>
      </c>
      <c r="C61" s="354" t="s">
        <v>431</v>
      </c>
      <c r="D61" s="14" t="s">
        <v>294</v>
      </c>
      <c r="E61" s="354" t="s">
        <v>432</v>
      </c>
      <c r="F61" s="313"/>
      <c r="G61" s="354"/>
      <c r="H61" s="354"/>
      <c r="I61" s="14" t="s">
        <v>386</v>
      </c>
      <c r="J61" s="14" t="s">
        <v>433</v>
      </c>
      <c r="K61" s="14">
        <v>2023</v>
      </c>
      <c r="L61" s="14">
        <v>2023</v>
      </c>
      <c r="M61" s="313" t="s">
        <v>434</v>
      </c>
      <c r="N61" s="356">
        <v>938.39126599999997</v>
      </c>
      <c r="O61" s="356">
        <v>500.774586</v>
      </c>
      <c r="P61" s="14">
        <v>2023</v>
      </c>
      <c r="Q61" s="356">
        <v>938.39126599999997</v>
      </c>
      <c r="R61" s="356">
        <f t="shared" si="5"/>
        <v>500.774586</v>
      </c>
      <c r="S61" s="359"/>
      <c r="T61" s="359"/>
      <c r="U61" s="356">
        <v>500.774586</v>
      </c>
      <c r="V61" s="354"/>
      <c r="W61" s="354"/>
      <c r="X61" s="13"/>
      <c r="Y61" s="354"/>
      <c r="Z61" s="354"/>
      <c r="AA61" s="354"/>
      <c r="AB61" s="354"/>
      <c r="AC61" s="13"/>
      <c r="AD61" s="354"/>
      <c r="AE61" s="13"/>
      <c r="AF61" s="124">
        <f t="shared" si="2"/>
        <v>500.774586</v>
      </c>
      <c r="AG61" s="359"/>
      <c r="AH61" s="359"/>
      <c r="AI61" s="356">
        <v>500.774586</v>
      </c>
      <c r="AJ61" s="354"/>
      <c r="AK61" s="354"/>
      <c r="AL61" s="13"/>
      <c r="AM61" s="354"/>
      <c r="AN61" s="354"/>
      <c r="AO61" s="354"/>
      <c r="AP61" s="354"/>
      <c r="AQ61" s="354"/>
      <c r="AR61" s="362">
        <f t="shared" si="4"/>
        <v>0</v>
      </c>
    </row>
    <row r="62" spans="1:44" ht="128.25" customHeight="1">
      <c r="A62" s="14"/>
      <c r="B62" s="14" t="s">
        <v>63</v>
      </c>
      <c r="C62" s="354" t="s">
        <v>435</v>
      </c>
      <c r="D62" s="14" t="s">
        <v>294</v>
      </c>
      <c r="E62" s="354" t="s">
        <v>436</v>
      </c>
      <c r="F62" s="313"/>
      <c r="G62" s="354"/>
      <c r="H62" s="354"/>
      <c r="I62" s="14" t="s">
        <v>404</v>
      </c>
      <c r="J62" s="14" t="s">
        <v>437</v>
      </c>
      <c r="K62" s="14">
        <v>2023</v>
      </c>
      <c r="L62" s="14">
        <v>2023</v>
      </c>
      <c r="M62" s="313" t="s">
        <v>438</v>
      </c>
      <c r="N62" s="356">
        <v>1130.0835010000001</v>
      </c>
      <c r="O62" s="356">
        <v>603.73929099999998</v>
      </c>
      <c r="P62" s="14">
        <v>2023</v>
      </c>
      <c r="Q62" s="356">
        <v>1130.0835010000001</v>
      </c>
      <c r="R62" s="356">
        <f t="shared" si="5"/>
        <v>603.73929099999998</v>
      </c>
      <c r="S62" s="359"/>
      <c r="T62" s="359"/>
      <c r="U62" s="356">
        <v>603.73929099999998</v>
      </c>
      <c r="V62" s="354"/>
      <c r="W62" s="354"/>
      <c r="X62" s="13"/>
      <c r="Y62" s="354"/>
      <c r="Z62" s="354"/>
      <c r="AA62" s="354"/>
      <c r="AB62" s="354"/>
      <c r="AC62" s="13"/>
      <c r="AD62" s="354"/>
      <c r="AE62" s="13"/>
      <c r="AF62" s="124">
        <f t="shared" si="2"/>
        <v>603.73929099999998</v>
      </c>
      <c r="AG62" s="359"/>
      <c r="AH62" s="359"/>
      <c r="AI62" s="356">
        <v>603.73929099999998</v>
      </c>
      <c r="AJ62" s="354"/>
      <c r="AK62" s="354"/>
      <c r="AL62" s="13"/>
      <c r="AM62" s="354"/>
      <c r="AN62" s="354"/>
      <c r="AO62" s="354"/>
      <c r="AP62" s="354"/>
      <c r="AQ62" s="354"/>
      <c r="AR62" s="362">
        <f t="shared" si="4"/>
        <v>0</v>
      </c>
    </row>
    <row r="63" spans="1:44" ht="128.25" customHeight="1">
      <c r="A63" s="14"/>
      <c r="B63" s="14" t="s">
        <v>63</v>
      </c>
      <c r="C63" s="354">
        <v>8144970</v>
      </c>
      <c r="D63" s="14" t="s">
        <v>294</v>
      </c>
      <c r="E63" s="354" t="s">
        <v>439</v>
      </c>
      <c r="F63" s="313"/>
      <c r="G63" s="354"/>
      <c r="H63" s="354"/>
      <c r="I63" s="14" t="s">
        <v>440</v>
      </c>
      <c r="J63" s="14" t="s">
        <v>441</v>
      </c>
      <c r="K63" s="14">
        <v>2025</v>
      </c>
      <c r="L63" s="14">
        <v>2025</v>
      </c>
      <c r="M63" s="313" t="s">
        <v>442</v>
      </c>
      <c r="N63" s="356">
        <v>837.54237599999999</v>
      </c>
      <c r="O63" s="356">
        <v>445.79029400000002</v>
      </c>
      <c r="P63" s="14">
        <v>2025</v>
      </c>
      <c r="Q63" s="356">
        <v>837.54237599999999</v>
      </c>
      <c r="R63" s="356">
        <f t="shared" si="5"/>
        <v>445.79029400000002</v>
      </c>
      <c r="S63" s="359"/>
      <c r="T63" s="359"/>
      <c r="U63" s="356"/>
      <c r="V63" s="356"/>
      <c r="W63" s="356">
        <v>445.79029400000002</v>
      </c>
      <c r="X63" s="13"/>
      <c r="Y63" s="354"/>
      <c r="Z63" s="354"/>
      <c r="AA63" s="354"/>
      <c r="AB63" s="354"/>
      <c r="AC63" s="13"/>
      <c r="AD63" s="354"/>
      <c r="AE63" s="13"/>
      <c r="AF63" s="124">
        <f t="shared" si="2"/>
        <v>445.79029400000002</v>
      </c>
      <c r="AG63" s="359"/>
      <c r="AH63" s="359"/>
      <c r="AI63" s="356"/>
      <c r="AJ63" s="356"/>
      <c r="AK63" s="356">
        <v>445.79029400000002</v>
      </c>
      <c r="AL63" s="13"/>
      <c r="AM63" s="354"/>
      <c r="AN63" s="354"/>
      <c r="AO63" s="354"/>
      <c r="AP63" s="354"/>
      <c r="AQ63" s="354"/>
      <c r="AR63" s="362">
        <f t="shared" si="4"/>
        <v>0</v>
      </c>
    </row>
    <row r="64" spans="1:44" ht="128.25" customHeight="1">
      <c r="A64" s="14"/>
      <c r="B64" s="14" t="s">
        <v>63</v>
      </c>
      <c r="C64" s="354">
        <v>8151908</v>
      </c>
      <c r="D64" s="14" t="s">
        <v>443</v>
      </c>
      <c r="E64" s="354" t="s">
        <v>444</v>
      </c>
      <c r="F64" s="313"/>
      <c r="G64" s="354"/>
      <c r="H64" s="354"/>
      <c r="I64" s="14" t="s">
        <v>166</v>
      </c>
      <c r="J64" s="14" t="s">
        <v>445</v>
      </c>
      <c r="K64" s="14">
        <v>2025</v>
      </c>
      <c r="L64" s="14">
        <v>2025</v>
      </c>
      <c r="M64" s="313" t="s">
        <v>446</v>
      </c>
      <c r="N64" s="354">
        <v>6000</v>
      </c>
      <c r="O64" s="354">
        <v>6000</v>
      </c>
      <c r="P64" s="14">
        <v>2025</v>
      </c>
      <c r="Q64" s="354">
        <v>6000</v>
      </c>
      <c r="R64" s="356">
        <f t="shared" si="5"/>
        <v>6000</v>
      </c>
      <c r="S64" s="359"/>
      <c r="T64" s="359"/>
      <c r="U64" s="356"/>
      <c r="V64" s="356"/>
      <c r="W64" s="356">
        <v>6000</v>
      </c>
      <c r="X64" s="13"/>
      <c r="Y64" s="354"/>
      <c r="Z64" s="354"/>
      <c r="AA64" s="354"/>
      <c r="AB64" s="354"/>
      <c r="AC64" s="13"/>
      <c r="AD64" s="354"/>
      <c r="AE64" s="13"/>
      <c r="AF64" s="124">
        <f t="shared" si="2"/>
        <v>6000</v>
      </c>
      <c r="AG64" s="359"/>
      <c r="AH64" s="359"/>
      <c r="AI64" s="356"/>
      <c r="AJ64" s="356"/>
      <c r="AK64" s="356">
        <v>6000</v>
      </c>
      <c r="AL64" s="13"/>
      <c r="AM64" s="354"/>
      <c r="AN64" s="354"/>
      <c r="AO64" s="354"/>
      <c r="AP64" s="354"/>
      <c r="AQ64" s="354"/>
      <c r="AR64" s="362">
        <f t="shared" si="4"/>
        <v>0</v>
      </c>
    </row>
    <row r="65" spans="1:44" ht="128.25" customHeight="1">
      <c r="A65" s="14"/>
      <c r="B65" s="14" t="s">
        <v>63</v>
      </c>
      <c r="C65" s="354">
        <v>7989019.9487179499</v>
      </c>
      <c r="D65" s="14" t="s">
        <v>294</v>
      </c>
      <c r="E65" s="354" t="s">
        <v>295</v>
      </c>
      <c r="F65" s="313"/>
      <c r="G65" s="354"/>
      <c r="H65" s="354"/>
      <c r="I65" s="14" t="s">
        <v>166</v>
      </c>
      <c r="J65" s="14" t="s">
        <v>447</v>
      </c>
      <c r="K65" s="14">
        <v>2023.37469387755</v>
      </c>
      <c r="L65" s="14">
        <v>2023</v>
      </c>
      <c r="M65" s="313" t="s">
        <v>448</v>
      </c>
      <c r="N65" s="356">
        <v>1458.3926193877601</v>
      </c>
      <c r="O65" s="356">
        <v>1052.1980086465301</v>
      </c>
      <c r="P65" s="14">
        <v>2023</v>
      </c>
      <c r="Q65" s="356">
        <v>1458.3926193877601</v>
      </c>
      <c r="R65" s="356">
        <f t="shared" si="5"/>
        <v>279.81136638961101</v>
      </c>
      <c r="S65" s="356">
        <v>279.81136638961101</v>
      </c>
      <c r="T65" s="354"/>
      <c r="U65" s="354"/>
      <c r="V65" s="354"/>
      <c r="W65" s="354"/>
      <c r="X65" s="124">
        <f t="shared" ref="X65:X67" si="6">SUM(Y65:AB65)</f>
        <v>0</v>
      </c>
      <c r="Y65" s="354"/>
      <c r="Z65" s="354"/>
      <c r="AA65" s="354"/>
      <c r="AB65" s="354"/>
      <c r="AC65" s="13"/>
      <c r="AD65" s="354"/>
      <c r="AE65" s="13"/>
      <c r="AF65" s="124">
        <f t="shared" ref="AF65:AF67" si="7">SUM(AG65:AK65)</f>
        <v>721.81141500000001</v>
      </c>
      <c r="AG65" s="356">
        <v>721.81141500000001</v>
      </c>
      <c r="AH65" s="354"/>
      <c r="AI65" s="354"/>
      <c r="AJ65" s="354"/>
      <c r="AK65" s="354"/>
      <c r="AL65" s="124">
        <f t="shared" ref="AL65:AL67" si="8">SUM(AM65:AP65)</f>
        <v>0</v>
      </c>
      <c r="AM65" s="354"/>
      <c r="AN65" s="354"/>
      <c r="AO65" s="354"/>
      <c r="AP65" s="354"/>
      <c r="AQ65" s="354"/>
      <c r="AR65" s="362">
        <f t="shared" si="4"/>
        <v>772.386642256919</v>
      </c>
    </row>
    <row r="66" spans="1:44" ht="128.25" customHeight="1">
      <c r="A66" s="14"/>
      <c r="B66" s="14" t="s">
        <v>63</v>
      </c>
      <c r="C66" s="354">
        <v>7991454.3256410304</v>
      </c>
      <c r="D66" s="14" t="s">
        <v>294</v>
      </c>
      <c r="E66" s="354" t="s">
        <v>298</v>
      </c>
      <c r="F66" s="313"/>
      <c r="G66" s="354"/>
      <c r="H66" s="354"/>
      <c r="I66" s="14" t="s">
        <v>166</v>
      </c>
      <c r="J66" s="14" t="s">
        <v>299</v>
      </c>
      <c r="K66" s="14">
        <v>2023.4340936374499</v>
      </c>
      <c r="L66" s="14">
        <v>2023</v>
      </c>
      <c r="M66" s="313" t="s">
        <v>449</v>
      </c>
      <c r="N66" s="356">
        <v>1478.21356220845</v>
      </c>
      <c r="O66" s="356">
        <v>1066.9624844059999</v>
      </c>
      <c r="P66" s="14">
        <v>2023</v>
      </c>
      <c r="Q66" s="356">
        <v>1478.21356220845</v>
      </c>
      <c r="R66" s="356">
        <f t="shared" ref="R66:R67" si="9">SUM(S66:W66)</f>
        <v>267.17452953020899</v>
      </c>
      <c r="S66" s="356">
        <v>267.17452953020899</v>
      </c>
      <c r="T66" s="354"/>
      <c r="U66" s="354"/>
      <c r="V66" s="354"/>
      <c r="W66" s="354"/>
      <c r="X66" s="124">
        <f t="shared" si="6"/>
        <v>627.01795547583004</v>
      </c>
      <c r="Y66" s="356">
        <v>627.01795547583004</v>
      </c>
      <c r="Z66" s="354"/>
      <c r="AA66" s="354"/>
      <c r="AB66" s="354"/>
      <c r="AC66" s="13"/>
      <c r="AD66" s="354"/>
      <c r="AE66" s="13"/>
      <c r="AF66" s="124">
        <f t="shared" si="7"/>
        <v>1010</v>
      </c>
      <c r="AG66" s="356">
        <f>1247-237</f>
        <v>1010</v>
      </c>
      <c r="AH66" s="354"/>
      <c r="AI66" s="354"/>
      <c r="AJ66" s="354"/>
      <c r="AK66" s="354"/>
      <c r="AL66" s="124">
        <f t="shared" si="8"/>
        <v>627.01795547583004</v>
      </c>
      <c r="AM66" s="356">
        <v>627.01795547583004</v>
      </c>
      <c r="AN66" s="354"/>
      <c r="AO66" s="354"/>
      <c r="AP66" s="354"/>
      <c r="AQ66" s="354"/>
      <c r="AR66" s="362">
        <f t="shared" ref="AR66:AR67" si="10">O66-R66</f>
        <v>799.787954875791</v>
      </c>
    </row>
    <row r="67" spans="1:44" ht="128.25" customHeight="1">
      <c r="A67" s="14"/>
      <c r="B67" s="14" t="s">
        <v>63</v>
      </c>
      <c r="C67" s="354">
        <v>7993888.7025640998</v>
      </c>
      <c r="D67" s="14" t="s">
        <v>294</v>
      </c>
      <c r="E67" s="354" t="s">
        <v>301</v>
      </c>
      <c r="F67" s="313"/>
      <c r="G67" s="354"/>
      <c r="H67" s="354"/>
      <c r="I67" s="14" t="s">
        <v>166</v>
      </c>
      <c r="J67" s="14" t="s">
        <v>302</v>
      </c>
      <c r="K67" s="14">
        <v>2023.49349339736</v>
      </c>
      <c r="L67" s="14">
        <v>2023</v>
      </c>
      <c r="M67" s="313" t="s">
        <v>450</v>
      </c>
      <c r="N67" s="356">
        <v>1498.0345050291501</v>
      </c>
      <c r="O67" s="356">
        <v>1081.72696016547</v>
      </c>
      <c r="P67" s="14">
        <v>2023</v>
      </c>
      <c r="Q67" s="356">
        <v>1498.0345050291501</v>
      </c>
      <c r="R67" s="356">
        <f t="shared" si="9"/>
        <v>254.53769267080801</v>
      </c>
      <c r="S67" s="356">
        <v>254.53769267080801</v>
      </c>
      <c r="T67" s="354"/>
      <c r="U67" s="354"/>
      <c r="V67" s="354"/>
      <c r="W67" s="354"/>
      <c r="X67" s="124">
        <f t="shared" si="6"/>
        <v>649.703711445355</v>
      </c>
      <c r="Y67" s="356">
        <v>649.703711445355</v>
      </c>
      <c r="Z67" s="354"/>
      <c r="AA67" s="354"/>
      <c r="AB67" s="354"/>
      <c r="AC67" s="13"/>
      <c r="AD67" s="354"/>
      <c r="AE67" s="13"/>
      <c r="AF67" s="124">
        <f t="shared" si="7"/>
        <v>318.26541900000001</v>
      </c>
      <c r="AG67" s="356">
        <f>330.265419-12</f>
        <v>318.26541900000001</v>
      </c>
      <c r="AH67" s="354"/>
      <c r="AI67" s="354"/>
      <c r="AJ67" s="354"/>
      <c r="AK67" s="354"/>
      <c r="AL67" s="124">
        <f t="shared" si="8"/>
        <v>649.703711445355</v>
      </c>
      <c r="AM67" s="356">
        <v>649.703711445355</v>
      </c>
      <c r="AN67" s="354"/>
      <c r="AO67" s="354"/>
      <c r="AP67" s="354"/>
      <c r="AQ67" s="354"/>
      <c r="AR67" s="362">
        <f t="shared" si="10"/>
        <v>827.18926749466198</v>
      </c>
    </row>
  </sheetData>
  <mergeCells count="55">
    <mergeCell ref="K7:K10"/>
    <mergeCell ref="L7:L10"/>
    <mergeCell ref="F6:F10"/>
    <mergeCell ref="G7:G10"/>
    <mergeCell ref="H7:H10"/>
    <mergeCell ref="I6:I10"/>
    <mergeCell ref="J6:J10"/>
    <mergeCell ref="G6:H6"/>
    <mergeCell ref="K6:L6"/>
    <mergeCell ref="A4:A10"/>
    <mergeCell ref="B4:B10"/>
    <mergeCell ref="C4:C10"/>
    <mergeCell ref="D4:D10"/>
    <mergeCell ref="E4:E10"/>
    <mergeCell ref="V6:V10"/>
    <mergeCell ref="W6:W10"/>
    <mergeCell ref="AF8:AK8"/>
    <mergeCell ref="AL8:AP8"/>
    <mergeCell ref="AG9:AK9"/>
    <mergeCell ref="AM9:AP9"/>
    <mergeCell ref="AF9:AF10"/>
    <mergeCell ref="AL9:AL10"/>
    <mergeCell ref="AE7:AE10"/>
    <mergeCell ref="N6:O6"/>
    <mergeCell ref="AE6:AP6"/>
    <mergeCell ref="AF7:AP7"/>
    <mergeCell ref="M6:M10"/>
    <mergeCell ref="N7:N10"/>
    <mergeCell ref="O7:O10"/>
    <mergeCell ref="P4:P10"/>
    <mergeCell ref="Q4:Q10"/>
    <mergeCell ref="R5:R10"/>
    <mergeCell ref="S6:S10"/>
    <mergeCell ref="T6:T10"/>
    <mergeCell ref="U6:U10"/>
    <mergeCell ref="AA6:AA10"/>
    <mergeCell ref="AB6:AB10"/>
    <mergeCell ref="AC5:AC10"/>
    <mergeCell ref="AD6:AD10"/>
    <mergeCell ref="A1:AQ1"/>
    <mergeCell ref="A2:AQ2"/>
    <mergeCell ref="A3:AQ3"/>
    <mergeCell ref="F4:O4"/>
    <mergeCell ref="R4:W4"/>
    <mergeCell ref="X4:AB4"/>
    <mergeCell ref="AC4:AP4"/>
    <mergeCell ref="AQ4:AQ10"/>
    <mergeCell ref="F5:H5"/>
    <mergeCell ref="I5:O5"/>
    <mergeCell ref="S5:W5"/>
    <mergeCell ref="Y5:AB5"/>
    <mergeCell ref="AD5:AP5"/>
    <mergeCell ref="X5:X10"/>
    <mergeCell ref="Y6:Y10"/>
    <mergeCell ref="Z6:Z10"/>
  </mergeCells>
  <pageMargins left="0.26" right="0.22" top="0.4" bottom="0.35" header="0.22" footer="0.19"/>
  <pageSetup paperSize="8" scale="44" fitToHeight="0" orientation="landscape" r:id="rId1"/>
  <headerFooter differentFirst="1">
    <oddHeader>&amp;C&amp;P/&amp;N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27</vt:i4>
      </vt:variant>
    </vt:vector>
  </HeadingPairs>
  <TitlesOfParts>
    <vt:vector size="48" baseType="lpstr">
      <vt:lpstr>1.Trung uong 21-25</vt:lpstr>
      <vt:lpstr>2.Tinh 21-25</vt:lpstr>
      <vt:lpstr>2.1.Tinh HTMT 21-25</vt:lpstr>
      <vt:lpstr>3.Thu hop phap Tinh 21-25</vt:lpstr>
      <vt:lpstr>1.Trung uong 26-30</vt:lpstr>
      <vt:lpstr>5.ODA 26-30</vt:lpstr>
      <vt:lpstr>2.Tinh 26-30</vt:lpstr>
      <vt:lpstr>7.Thu hop phap Tinh 26-30</vt:lpstr>
      <vt:lpstr>8.Xa 21-25</vt:lpstr>
      <vt:lpstr>9.Thu hop phap xa 21-25</vt:lpstr>
      <vt:lpstr>3.Xa 26-30</vt:lpstr>
      <vt:lpstr>11.Thu hop phap Xa 26-30</vt:lpstr>
      <vt:lpstr>Nganh-linh vuc NĐ 85</vt:lpstr>
      <vt:lpstr>4.Tinh HTMT 26-30</vt:lpstr>
      <vt:lpstr>5.DTC2026</vt:lpstr>
      <vt:lpstr>2026 HD</vt:lpstr>
      <vt:lpstr>DM DTC2630 theo HD STC</vt:lpstr>
      <vt:lpstr>foxz</vt:lpstr>
      <vt:lpstr>bieu 1 nguon von</vt:lpstr>
      <vt:lpstr>26-30 sua</vt:lpstr>
      <vt:lpstr>bs 2026 UBND</vt:lpstr>
      <vt:lpstr>'1.Trung uong 21-25'!Print_Area</vt:lpstr>
      <vt:lpstr>'1.Trung uong 26-30'!Print_Area</vt:lpstr>
      <vt:lpstr>'11.Thu hop phap Xa 26-30'!Print_Area</vt:lpstr>
      <vt:lpstr>'2.1.Tinh HTMT 21-25'!Print_Area</vt:lpstr>
      <vt:lpstr>'2.Tinh 21-25'!Print_Area</vt:lpstr>
      <vt:lpstr>'2.Tinh 26-30'!Print_Area</vt:lpstr>
      <vt:lpstr>'2026 HD'!Print_Area</vt:lpstr>
      <vt:lpstr>'26-30 sua'!Print_Area</vt:lpstr>
      <vt:lpstr>'3.Xa 26-30'!Print_Area</vt:lpstr>
      <vt:lpstr>'4.Tinh HTMT 26-30'!Print_Area</vt:lpstr>
      <vt:lpstr>'5.DTC2026'!Print_Area</vt:lpstr>
      <vt:lpstr>'5.ODA 26-30'!Print_Area</vt:lpstr>
      <vt:lpstr>'7.Thu hop phap Tinh 26-30'!Print_Area</vt:lpstr>
      <vt:lpstr>'8.Xa 21-25'!Print_Area</vt:lpstr>
      <vt:lpstr>'9.Thu hop phap xa 21-25'!Print_Area</vt:lpstr>
      <vt:lpstr>'bieu 1 nguon von'!Print_Area</vt:lpstr>
      <vt:lpstr>'bs 2026 UBND'!Print_Area</vt:lpstr>
      <vt:lpstr>'1.Trung uong 21-25'!Print_Titles</vt:lpstr>
      <vt:lpstr>'11.Thu hop phap Xa 26-30'!Print_Titles</vt:lpstr>
      <vt:lpstr>'2.1.Tinh HTMT 21-25'!Print_Titles</vt:lpstr>
      <vt:lpstr>'2.Tinh 21-25'!Print_Titles</vt:lpstr>
      <vt:lpstr>'3.Xa 26-30'!Print_Titles</vt:lpstr>
      <vt:lpstr>'4.Tinh HTMT 26-30'!Print_Titles</vt:lpstr>
      <vt:lpstr>'5.ODA 26-30'!Print_Titles</vt:lpstr>
      <vt:lpstr>'7.Thu hop phap Tinh 26-30'!Print_Titles</vt:lpstr>
      <vt:lpstr>'8.Xa 21-25'!Print_Titles</vt:lpstr>
      <vt:lpstr>'9.Thu hop phap xa 21-25'!Print_Titles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DDT</dc:creator>
  <cp:lastModifiedBy>Laptop 5</cp:lastModifiedBy>
  <cp:lastPrinted>2026-08-21T03:10:48Z</cp:lastPrinted>
  <dcterms:created xsi:type="dcterms:W3CDTF">2015-06-05T18:17:00Z</dcterms:created>
  <dcterms:modified xsi:type="dcterms:W3CDTF">2026-08-22T05:54:01Z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EF266BCA488544A2B88FE91587BEDCA3_12</vt:lpwstr>
  </property>
  <property fmtid="{D5CDD505-2E9C-101B-9397-08002B2CF9AE}" pid="3" name="KSOProductBuildVer">
    <vt:lpwstr>1033-12.2.0.23155</vt:lpwstr>
  </property>
</Properties>
</file>